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Adrian\Bugete Planificare Financiara\Tarife\Tarif transport\24-25\publicare tarife 24-25\publicare informatii venit\Romana\"/>
    </mc:Choice>
  </mc:AlternateContent>
  <xr:revisionPtr revIDLastSave="0" documentId="13_ncr:1_{D9D5B983-707E-438A-BAE7-DBBAB1958309}" xr6:coauthVersionLast="36" xr6:coauthVersionMax="36" xr10:uidLastSave="{00000000-0000-0000-0000-000000000000}"/>
  <bookViews>
    <workbookView xWindow="0" yWindow="0" windowWidth="19200" windowHeight="6168" xr2:uid="{00000000-000D-0000-FFFF-FFFF00000000}"/>
  </bookViews>
  <sheets>
    <sheet name="Model simplificat tarife" sheetId="1" r:id="rId1"/>
    <sheet name=" Tarife an Tr" sheetId="3" r:id="rId2"/>
    <sheet name=" Tarife an 5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__a1" localSheetId="1" hidden="1">{#N/A,#N/A,FALSE,"Отчет о финансовых результатах"}</definedName>
    <definedName name="__________________a1" hidden="1">{#N/A,#N/A,FALSE,"Отчет о финансовых результатах"}</definedName>
    <definedName name="________________a1" localSheetId="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localSheetId="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localSheetId="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localSheetId="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localSheetId="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localSheetId="1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localSheetId="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localSheetId="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localSheetId="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localSheetId="1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localSheetId="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localSheetId="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localSheetId="1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localSheetId="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localSheetId="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localSheetId="1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localSheetId="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localSheetId="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localSheetId="1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localSheetId="1" hidden="1">{#N/A,#N/A,FALSE,"Отчет о финансовых результатах"}</definedName>
    <definedName name="________a1" hidden="1">{#N/A,#N/A,FALSE,"Отчет о финансовых результатах"}</definedName>
    <definedName name="________a2" localSheetId="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localSheetId="1" hidden="1">{#N/A,#N/A,FALSE,"Отчет о финансовых результатах"}</definedName>
    <definedName name="________gg1" hidden="1">{#N/A,#N/A,FALSE,"Отчет о финансовых результатах"}</definedName>
    <definedName name="_______a1" localSheetId="1" hidden="1">{#N/A,#N/A,FALSE,"Отчет о финансовых результатах"}</definedName>
    <definedName name="_______a1" hidden="1">{#N/A,#N/A,FALSE,"Отчет о финансовых результатах"}</definedName>
    <definedName name="_______a2" localSheetId="1" hidden="1">{#N/A,#N/A,FALSE,"Отчет о финансовых результатах"}</definedName>
    <definedName name="_______a2" hidden="1">{#N/A,#N/A,FALSE,"Отчет о финансовых результатах"}</definedName>
    <definedName name="_______gg1" localSheetId="1" hidden="1">{#N/A,#N/A,FALSE,"Отчет о финансовых результатах"}</definedName>
    <definedName name="_______gg1" hidden="1">{#N/A,#N/A,FALSE,"Отчет о финансовых результатах"}</definedName>
    <definedName name="______a1" localSheetId="1" hidden="1">{#N/A,#N/A,FALSE,"Отчет о финансовых результатах"}</definedName>
    <definedName name="______a1" hidden="1">{#N/A,#N/A,FALSE,"Отчет о финансовых результатах"}</definedName>
    <definedName name="______a2" localSheetId="1" hidden="1">{#N/A,#N/A,FALSE,"Отчет о финансовых результатах"}</definedName>
    <definedName name="______a2" hidden="1">{#N/A,#N/A,FALSE,"Отчет о финансовых результатах"}</definedName>
    <definedName name="______gg1" localSheetId="1" hidden="1">{#N/A,#N/A,FALSE,"Отчет о финансовых результатах"}</definedName>
    <definedName name="______gg1" hidden="1">{#N/A,#N/A,FALSE,"Отчет о финансовых результатах"}</definedName>
    <definedName name="_____a1" localSheetId="1" hidden="1">{#N/A,#N/A,FALSE,"Отчет о финансовых результатах"}</definedName>
    <definedName name="_____a1" hidden="1">{#N/A,#N/A,FALSE,"Отчет о финансовых результатах"}</definedName>
    <definedName name="_____a2" localSheetId="1" hidden="1">{#N/A,#N/A,FALSE,"Отчет о финансовых результатах"}</definedName>
    <definedName name="_____a2" hidden="1">{#N/A,#N/A,FALSE,"Отчет о финансовых результатах"}</definedName>
    <definedName name="_____gg1" localSheetId="1" hidden="1">{#N/A,#N/A,FALSE,"Отчет о финансовых результатах"}</definedName>
    <definedName name="_____gg1" hidden="1">{#N/A,#N/A,FALSE,"Отчет о финансовых результатах"}</definedName>
    <definedName name="____a1" localSheetId="1" hidden="1">{#N/A,#N/A,FALSE,"Отчет о финансовых результатах"}</definedName>
    <definedName name="____a1" hidden="1">{#N/A,#N/A,FALSE,"Отчет о финансовых результатах"}</definedName>
    <definedName name="____a2" localSheetId="1" hidden="1">{#N/A,#N/A,FALSE,"Отчет о финансовых результатах"}</definedName>
    <definedName name="____a2" hidden="1">{#N/A,#N/A,FALSE,"Отчет о финансовых результатах"}</definedName>
    <definedName name="____gg1" localSheetId="1" hidden="1">{#N/A,#N/A,FALSE,"Отчет о финансовых результатах"}</definedName>
    <definedName name="____gg1" hidden="1">{#N/A,#N/A,FALSE,"Отчет о финансовых результатах"}</definedName>
    <definedName name="___a1" localSheetId="1" hidden="1">{#N/A,#N/A,FALSE,"Отчет о финансовых результатах"}</definedName>
    <definedName name="___a1" hidden="1">{#N/A,#N/A,FALSE,"Отчет о финансовых результатах"}</definedName>
    <definedName name="___a2" localSheetId="1" hidden="1">{#N/A,#N/A,FALSE,"Отчет о финансовых результатах"}</definedName>
    <definedName name="___a2" hidden="1">{#N/A,#N/A,FALSE,"Отчет о финансовых результатах"}</definedName>
    <definedName name="___gg1" localSheetId="1" hidden="1">{#N/A,#N/A,FALSE,"Отчет о финансовых результатах"}</definedName>
    <definedName name="___gg1" hidden="1">{#N/A,#N/A,FALSE,"Отчет о финансовых результатах"}</definedName>
    <definedName name="__a1" localSheetId="1" hidden="1">{#N/A,#N/A,FALSE,"Отчет о финансовых результатах"}</definedName>
    <definedName name="__a1" hidden="1">{#N/A,#N/A,FALSE,"Отчет о финансовых результатах"}</definedName>
    <definedName name="__a2" localSheetId="1" hidden="1">{#N/A,#N/A,FALSE,"Отчет о финансовых результатах"}</definedName>
    <definedName name="__a2" hidden="1">{#N/A,#N/A,FALSE,"Отчет о финансовых результатах"}</definedName>
    <definedName name="__asd4" localSheetId="1" hidden="1">{#N/A,#N/A,FALSE,"Отчет о финансовых результатах"}</definedName>
    <definedName name="__asd4" hidden="1">{#N/A,#N/A,FALSE,"Отчет о финансовых результатах"}</definedName>
    <definedName name="__gg1" localSheetId="1" hidden="1">{#N/A,#N/A,FALSE,"Отчет о финансовых результатах"}</definedName>
    <definedName name="__gg1" hidden="1">{#N/A,#N/A,FALSE,"Отчет о финансовых результатах"}</definedName>
    <definedName name="__i2" localSheetId="1" hidden="1">{#N/A,#N/A,FALSE,"Отчет о финансовых результатах"}</definedName>
    <definedName name="__i2" hidden="1">{#N/A,#N/A,FALSE,"Отчет о финансовых результатах"}</definedName>
    <definedName name="__i3" localSheetId="1" hidden="1">{#N/A,#N/A,FALSE,"Отчет о финансовых результатах"}</definedName>
    <definedName name="__i3" hidden="1">{#N/A,#N/A,FALSE,"Отчет о финансовых результатах"}</definedName>
    <definedName name="__t3" localSheetId="1" hidden="1">{#N/A,#N/A,FALSE,"Отчет о финансовых результатах"}</definedName>
    <definedName name="__t3" hidden="1">{#N/A,#N/A,FALSE,"Отчет о финансовых результатах"}</definedName>
    <definedName name="__zz12" localSheetId="1" hidden="1">{0,0,0,0}</definedName>
    <definedName name="__zz12" hidden="1">{0,0,0,0}</definedName>
    <definedName name="_a1" localSheetId="1" hidden="1">{#N/A,#N/A,FALSE,"Отчет о финансовых результатах"}</definedName>
    <definedName name="_a1" hidden="1">{#N/A,#N/A,FALSE,"Отчет о финансовых результатах"}</definedName>
    <definedName name="_a2" localSheetId="1" hidden="1">{#N/A,#N/A,FALSE,"Отчет о финансовых результатах"}</definedName>
    <definedName name="_a2" hidden="1">{#N/A,#N/A,FALSE,"Отчет о финансовых результатах"}</definedName>
    <definedName name="_a3" localSheetId="1" hidden="1">{#N/A,#N/A,FALSE,"Отчет о финансовых результатах"}</definedName>
    <definedName name="_a3" hidden="1">{#N/A,#N/A,FALSE,"Отчет о финансовых результатах"}</definedName>
    <definedName name="_asd4" localSheetId="1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2" hidden="1">[1]Fe!#REF!</definedName>
    <definedName name="_Fill" localSheetId="1" hidden="1">[1]Fe!#REF!</definedName>
    <definedName name="_Fill" localSheetId="0" hidden="1">[2]Fe!#REF!</definedName>
    <definedName name="_Fill" hidden="1">[2]Fe!#REF!</definedName>
    <definedName name="_gg1" localSheetId="1" hidden="1">{#N/A,#N/A,FALSE,"Отчет о финансовых результатах"}</definedName>
    <definedName name="_gg1" hidden="1">{#N/A,#N/A,FALSE,"Отчет о финансовых результатах"}</definedName>
    <definedName name="_i2" localSheetId="1" hidden="1">{#N/A,#N/A,FALSE,"Отчет о финансовых результатах"}</definedName>
    <definedName name="_i2" hidden="1">{#N/A,#N/A,FALSE,"Отчет о финансовых результатах"}</definedName>
    <definedName name="_i3" localSheetId="1" hidden="1">{#N/A,#N/A,FALSE,"Отчет о финансовых результатах"}</definedName>
    <definedName name="_i3" hidden="1">{#N/A,#N/A,FALSE,"Отчет о финансовых результатах"}</definedName>
    <definedName name="_S1_ArrowId">[3]Inputs!$A$3</definedName>
    <definedName name="_S2_CompanyName">[3]Reports!$A$2</definedName>
    <definedName name="_S2_DataStage1">[3]Inputs!$A$4</definedName>
    <definedName name="_t3" localSheetId="1" hidden="1">{#N/A,#N/A,FALSE,"Отчет о финансовых результатах"}</definedName>
    <definedName name="_t3" hidden="1">{#N/A,#N/A,FALSE,"Отчет о финансовых результатах"}</definedName>
    <definedName name="_zz12" localSheetId="1" hidden="1">{0,0,0,0}</definedName>
    <definedName name="_zz12" hidden="1">{0,0,0,0}</definedName>
    <definedName name="a" localSheetId="2" hidden="1">[4]Fe!#REF!</definedName>
    <definedName name="a" localSheetId="1" hidden="1">[4]Fe!#REF!</definedName>
    <definedName name="a" localSheetId="0" hidden="1">[4]Fe!#REF!</definedName>
    <definedName name="a" hidden="1">[5]Fe!#REF!</definedName>
    <definedName name="aa" localSheetId="2" hidden="1">[4]Fe!#REF!</definedName>
    <definedName name="aa" localSheetId="1" hidden="1">[4]Fe!#REF!</definedName>
    <definedName name="aa" localSheetId="0" hidden="1">[4]Fe!#REF!</definedName>
    <definedName name="aa" hidden="1">[5]Fe!#REF!</definedName>
    <definedName name="aaa" localSheetId="1" hidden="1">{#N/A,#N/A,FALSE,"Отчет о финансовых результатах"}</definedName>
    <definedName name="aaa" hidden="1">{#N/A,#N/A,FALSE,"Отчет о финансовых результатах"}</definedName>
    <definedName name="AAAA" localSheetId="1" hidden="1">{#N/A,#N/A,FALSE,"Отчет о финансовых результатах"}</definedName>
    <definedName name="AAAA" hidden="1">{#N/A,#N/A,FALSE,"Отчет о финансовых результатах"}</definedName>
    <definedName name="aaaaaa" localSheetId="1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localSheetId="1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localSheetId="1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localSheetId="1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localSheetId="1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localSheetId="1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localSheetId="1" hidden="1">{#N/A,#N/A,FALSE,"Отчет о финансовых результатах"}</definedName>
    <definedName name="abc" hidden="1">{#N/A,#N/A,FALSE,"Отчет о финансовых результатах"}</definedName>
    <definedName name="ABS">[3]Reports!$A$380</definedName>
    <definedName name="Accounting_records">[6]Scoping!$G$19</definedName>
    <definedName name="Accruals">[6]Scoping!$G$30</definedName>
    <definedName name="ACF">[3]Reports!$A$327</definedName>
    <definedName name="Actual_Return">""</definedName>
    <definedName name="Adjusted_Ratios">[3]Reports!$A$31</definedName>
    <definedName name="amortizare" localSheetId="2" hidden="1">[7]Fe!#REF!</definedName>
    <definedName name="amortizare" localSheetId="1" hidden="1">[7]Fe!#REF!</definedName>
    <definedName name="amortizare" localSheetId="0" hidden="1">[7]Fe!#REF!</definedName>
    <definedName name="amortizare" hidden="1">[8]Fe!#REF!</definedName>
    <definedName name="an" localSheetId="2">#REF!</definedName>
    <definedName name="an" localSheetId="1">#REF!</definedName>
    <definedName name="an">#REF!</definedName>
    <definedName name="An.2.2" localSheetId="1" hidden="1">{#N/A,#N/A,FALSE,"Отчет о финансовых результатах"}</definedName>
    <definedName name="An.2.2" hidden="1">{#N/A,#N/A,FALSE,"Отчет о финансовых результатах"}</definedName>
    <definedName name="AN.202" localSheetId="1" hidden="1">{#N/A,#N/A,FALSE,"Отчет о финансовых результатах"}</definedName>
    <definedName name="AN.202" hidden="1">{#N/A,#N/A,FALSE,"Отчет о финансовых результатах"}</definedName>
    <definedName name="ANRE" localSheetId="1" hidden="1">{#N/A,#N/A,FALSE,"Отчет о финансовых результатах"}</definedName>
    <definedName name="ANRE" hidden="1">{#N/A,#N/A,FALSE,"Отчет о финансовых результатах"}</definedName>
    <definedName name="Anul" localSheetId="2">#REF!</definedName>
    <definedName name="Anul" localSheetId="1">#REF!</definedName>
    <definedName name="Anul">#REF!</definedName>
    <definedName name="ARE_Search_Start">[3]Inputs!$A$813</definedName>
    <definedName name="AROInputs">[3]Inputs!$A$561</definedName>
    <definedName name="Balance_Sheet">[3]Inputs!$A$245</definedName>
    <definedName name="bbbbbbbbbbbbbb" localSheetId="1" hidden="1">{#N/A,#N/A,FALSE,"Отчет о финансовых результатах"}</definedName>
    <definedName name="bbbbbbbbbbbbbb" hidden="1">{#N/A,#N/A,FALSE,"Отчет о финансовых результатах"}</definedName>
    <definedName name="bc" localSheetId="1" hidden="1">{#N/A,#N/A,FALSE,"Отчет о финансовых результатах"}</definedName>
    <definedName name="bc" hidden="1">{#N/A,#N/A,FALSE,"Отчет о финансовых результатах"}</definedName>
    <definedName name="BSAdjustments">[3]Inputs!$A$1197</definedName>
    <definedName name="Bvc" localSheetId="1" hidden="1">{#N/A,#N/A,FALSE,"Отчет о финансовых результатах"}</definedName>
    <definedName name="Bvc" hidden="1">{#N/A,#N/A,FALSE,"Отчет о финансовых результатах"}</definedName>
    <definedName name="CallingApp">""</definedName>
    <definedName name="CAPITAL">[3]Inputs!$A$1280</definedName>
    <definedName name="Cash">[6]Scoping!$G$20</definedName>
    <definedName name="Cash_Flow_Statement">[3]Inputs!$A$149</definedName>
    <definedName name="ccc" localSheetId="1" hidden="1">{#N/A,#N/A,FALSE,"Отчет о финансовых результатах"}</definedName>
    <definedName name="ccc" hidden="1">{#N/A,#N/A,FALSE,"Отчет о финансовых результатах"}</definedName>
    <definedName name="CFAdjustments">[3]Inputs!$A$1088</definedName>
    <definedName name="ConcatFN">[3]Inputs!$C$1609</definedName>
    <definedName name="Construction_contracts">[6]Scoping!$G$23</definedName>
    <definedName name="Credit_Stats">[3]Reports!$A$412</definedName>
    <definedName name="CurrencyList">[3]Lists!$A$3:$A$1502</definedName>
    <definedName name="CurrencySymbolList">[3]TemplateLists!$A$2:$B$26</definedName>
    <definedName name="d" localSheetId="1" hidden="1">{#N/A,#N/A,FALSE,"Отчет о финансовых результатах"}</definedName>
    <definedName name="d" hidden="1">{#N/A,#N/A,FALSE,"Отчет о финансовых результатах"}</definedName>
    <definedName name="ddd" localSheetId="2">#REF!</definedName>
    <definedName name="ddd" localSheetId="1">#REF!</definedName>
    <definedName name="ddd">#REF!</definedName>
    <definedName name="DDDates">[3]FinSum!$P$4:$P$5</definedName>
    <definedName name="DDIndex">[3]FinSum!$E$3</definedName>
    <definedName name="deka" localSheetId="1" hidden="1">{#N/A,#N/A,FALSE,"Отчет о финансовых результатах"}</definedName>
    <definedName name="deka" hidden="1">{#N/A,#N/A,FALSE,"Отчет о финансовых результатах"}</definedName>
    <definedName name="DenominationList">[3]Lists!$B$2:$B$5</definedName>
    <definedName name="DenomShortList">[3]TemplateLists!$G$2:$H$5</definedName>
    <definedName name="DetectFYEChange">[3]Inputs!$B$1620</definedName>
    <definedName name="dfgjjjjjjjjjjjjjjjjjjjjjjjjj" localSheetId="1" hidden="1">{#N/A,#N/A,FALSE,"Отчет о финансовых результатах"}</definedName>
    <definedName name="dfgjjjjjjjjjjjjjjjjjjjjjjjjj" hidden="1">{#N/A,#N/A,FALSE,"Отчет о финансовых результатах"}</definedName>
    <definedName name="dfsfsdf" localSheetId="1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[3]Reports!$A$458</definedName>
    <definedName name="EntityComboCacheDate" hidden="1">39099</definedName>
    <definedName name="EntityComboCacheTestDate" hidden="1">39099</definedName>
    <definedName name="EntityConfStatus">[3]Inputs!$A$1624</definedName>
    <definedName name="euro">'[9]An. 2.2.5.Estimarea dobânzii'!$D$14</definedName>
    <definedName name="extras_1" localSheetId="2">' Tarife an 5'!#REF!</definedName>
    <definedName name="extras_1" localSheetId="1">' Tarife an Tr'!#REF!</definedName>
    <definedName name="extras_1" localSheetId="0">'Model simplificat tarife'!#REF!</definedName>
    <definedName name="extras_1">#REF!</definedName>
    <definedName name="Fees" localSheetId="2">[10]bei!#REF!</definedName>
    <definedName name="Fees" localSheetId="1">[10]bei!#REF!</definedName>
    <definedName name="Fees">[10]bei!#REF!</definedName>
    <definedName name="ffff" localSheetId="1" hidden="1">{#N/A,#N/A,FALSE,"Отчет о финансовых результатах"}</definedName>
    <definedName name="ffff" hidden="1">{#N/A,#N/A,FALSE,"Отчет о финансовых результатах"}</definedName>
    <definedName name="FFO_TotDebt">[3]UtilityBenchmarks!$A$42:$H$51</definedName>
    <definedName name="FFOIntCov">[3]UtilityBenchmarks!$A$30:$H$39</definedName>
    <definedName name="fgfgfgffhhhhhhhhhhhhhhhhhhhh" localSheetId="1" hidden="1">{#N/A,#N/A,FALSE,"Отчет о финансовых результатах"}</definedName>
    <definedName name="fgfgfgffhhhhhhhhhhhhhhhhhhhh" hidden="1">{#N/A,#N/A,FALSE,"Отчет о финансовых результатах"}</definedName>
    <definedName name="fggggg" localSheetId="1" hidden="1">{#N/A,#N/A,FALSE,"Отчет о финансовых результатах"}</definedName>
    <definedName name="fggggg" hidden="1">{#N/A,#N/A,FALSE,"Отчет о финансовых результатах"}</definedName>
    <definedName name="fill" localSheetId="2" hidden="1">[4]Fe!#REF!</definedName>
    <definedName name="fill" localSheetId="1" hidden="1">[4]Fe!#REF!</definedName>
    <definedName name="fill" hidden="1">[4]Fe!#REF!</definedName>
    <definedName name="FNMarkers2">[3]Inputs!$C$1611</definedName>
    <definedName name="for" localSheetId="1" hidden="1">{#N/A,#N/A,FALSE,0}</definedName>
    <definedName name="for" hidden="1">{#N/A,#N/A,FALSE,0}</definedName>
    <definedName name="forma" localSheetId="1" hidden="1">{#N/A,#N/A,FALSE,"Отчет о финансовых результатах"}</definedName>
    <definedName name="forma" hidden="1">{#N/A,#N/A,FALSE,"Отчет о финансовых результатах"}</definedName>
    <definedName name="Functii" localSheetId="2">#REF!</definedName>
    <definedName name="Functii" localSheetId="1">#REF!</definedName>
    <definedName name="Functii">#REF!</definedName>
    <definedName name="ggggg" localSheetId="1" hidden="1">{#N/A,#N/A,FALSE,"Отчет о финансовых результатах"}</definedName>
    <definedName name="ggggg" hidden="1">{#N/A,#N/A,FALSE,"Отчет о финансовых результатах"}</definedName>
    <definedName name="ghj" localSheetId="1" hidden="1">{#N/A,#N/A,FALSE,"Отчет о финансовых результатах"}</definedName>
    <definedName name="ghj" hidden="1">{#N/A,#N/A,FALSE,"Отчет о финансовых результатах"}</definedName>
    <definedName name="ghujg" localSheetId="1" hidden="1">{#N/A,#N/A,FALSE,"Отчет о финансовых результатах"}</definedName>
    <definedName name="ghujg" hidden="1">{#N/A,#N/A,FALSE,"Отчет о финансовых результатах"}</definedName>
    <definedName name="Goodwill">[6]Scoping!$G$27</definedName>
    <definedName name="grisa" localSheetId="1" hidden="1">{0,2.97619001461332E-288,0,0}</definedName>
    <definedName name="grisa" hidden="1">{0,2.97619001461332E-288,0,0}</definedName>
    <definedName name="GVKey">"006066-01"</definedName>
    <definedName name="HandOffValidation">[3]Inputs!$C$18:$C$21</definedName>
    <definedName name="hjk" localSheetId="1" hidden="1">{#N/A,#N/A,FALSE,"Отчет о финансовых результатах"}</definedName>
    <definedName name="hjk" hidden="1">{#N/A,#N/A,FALSE,"Отчет о финансовых результатах"}</definedName>
    <definedName name="HTML_CodePage" hidden="1">1252</definedName>
    <definedName name="HTML_Control" localSheetId="1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[3]FinSum!$A$15,[3]FinSum!$A$26,[3]FinSum!$A$27,[3]FinSum!$A$32,[3]FinSum!$A$36,[3]FinSum!$A$46,[3]FinSum!$A$53:$A$66</definedName>
    <definedName name="I_Only_Opt">[3]FinSum!$A$15,[3]FinSum!$A$26,[3]FinSum!$A$27,[3]FinSum!$A$32,[3]FinSum!$A$46,[3]FinSum!$A$53:$A$66</definedName>
    <definedName name="I_Opt_U_Stnd">[3]FinSum!$A$19,[3]FinSum!$A$23,[3]FinSum!$A$25</definedName>
    <definedName name="IN_activitati" localSheetId="2" hidden="1">[1]Fe!#REF!</definedName>
    <definedName name="IN_activitati" localSheetId="1" hidden="1">[1]Fe!#REF!</definedName>
    <definedName name="IN_activitati" hidden="1">[1]Fe!#REF!</definedName>
    <definedName name="Include">[3]FinSum!$O$4:$O$5</definedName>
    <definedName name="Income_Statement">[3]Inputs!$A$30</definedName>
    <definedName name="Industrial">[3]Inputs!$B$1594</definedName>
    <definedName name="inf">1.14</definedName>
    <definedName name="INFLATIONFACTOR11">0.845</definedName>
    <definedName name="InflationRates">[3]Lists!$C$2:$C$3</definedName>
    <definedName name="Inputs_E_Items_1">[3]Inputs!$C$36,[3]Inputs!$C$37,[3]Inputs!$C$38,[3]Inputs!$C$39,[3]Inputs!$C$51,[3]Inputs!$C$54,[3]Inputs!$C$114,[3]Inputs!$C$156,[3]Inputs!$C$157,[3]Inputs!$C$160</definedName>
    <definedName name="Inputs_E_Items_2">[3]Inputs!$C$161,[3]Inputs!$C$168,[3]Inputs!$C$169,[3]Inputs!$C$172,[3]Inputs!$C$182,[3]Inputs!$C$184,[3]Inputs!$C$186,[3]Inputs!$C$194,[3]Inputs!$C$196,[3]Inputs!$C$199,[3]Inputs!$C$201,[3]Inputs!$C$158</definedName>
    <definedName name="Inputs_E_Items_3">[3]Inputs!$C$202,[3]Inputs!$C$203,[3]Inputs!$C$210,[3]Inputs!$C$233,[3]Inputs!$C$234,[3]Inputs!$C$274,[3]Inputs!$C$335</definedName>
    <definedName name="Inputs_E_Items_4">[3]Inputs!$C$317,[3]Inputs!$C$343,[3]Inputs!$C$344,[3]Inputs!$C$661,[3]Inputs!$C$662,[3]Inputs!$C$663,[3]Inputs!$C$665,[3]Inputs!$C$666,[3]Inputs!$C$667,[3]Inputs!$C$669</definedName>
    <definedName name="Inputs_L_Items_1">[3]Inputs!$C$146,[3]Inputs!$C$147</definedName>
    <definedName name="Inputs_N_Items_1">[3]Inputs!$C$49,[3]Inputs!$C$111,[3]Inputs!$C$130,[3]Inputs!$C$132,[3]Inputs!$C$137,[3]Inputs!$C$138,[3]Inputs!$C$139,[3]Inputs!$C$140,[3]Inputs!$C$141,[3]Inputs!$C$142,[3]Inputs!$C$143</definedName>
    <definedName name="Inputs_N_Items_2">[3]Inputs!$C$144,[3]Inputs!$C$145,[3]Inputs!$C$155,[3]Inputs!$C$164,[3]Inputs!$C$170,[3]Inputs!$C$187,[3]Inputs!$C$197,[3]Inputs!$C$198</definedName>
    <definedName name="Inputs_N_Items_4">[3]Inputs!$C$1604,[3]Inputs!$C$1605,[3]Inputs!$C$1607,[3]Inputs!$C$1608,[3]Inputs!$C$1609,[3]Inputs!$C$1612</definedName>
    <definedName name="InputsSheetCells">[3]Inputs!$F$13:$L$1305,[3]Inputs!$E$1308:$E$1310</definedName>
    <definedName name="InputtedBP">[3]Inputs!$H$1574</definedName>
    <definedName name="InputtedRating">[3]Inputs!$H$1573</definedName>
    <definedName name="Institutii" localSheetId="2">#REF!</definedName>
    <definedName name="Institutii" localSheetId="1">#REF!</definedName>
    <definedName name="Institutii">#REF!</definedName>
    <definedName name="Intangibles">[6]Scoping!$G$28</definedName>
    <definedName name="INTRARI" localSheetId="2" hidden="1">[7]Fe!#REF!</definedName>
    <definedName name="INTRARI" localSheetId="1" hidden="1">[7]Fe!#REF!</definedName>
    <definedName name="INTRARI" hidden="1">[7]Fe!#REF!</definedName>
    <definedName name="INTRARI_suplT1" localSheetId="2" hidden="1">[1]Fe!#REF!</definedName>
    <definedName name="INTRARI_suplT1" localSheetId="1" hidden="1">[1]Fe!#REF!</definedName>
    <definedName name="INTRARI_suplT1" hidden="1">[1]Fe!#REF!</definedName>
    <definedName name="Inventory">[6]Scoping!$G$22</definedName>
    <definedName name="Invest_properties">[6]Scoping!$G$25</definedName>
    <definedName name="Invest_subsidiaries">[6]Scoping!$G$26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localSheetId="1" hidden="1">{#N/A,#N/A,FALSE,"Отчет о финансовых результатах"}</definedName>
    <definedName name="jhgggggggggggggg" hidden="1">{#N/A,#N/A,FALSE,"Отчет о финансовых результатах"}</definedName>
    <definedName name="kblf" localSheetId="1" hidden="1">{#N/A,#N/A,FALSE,0}</definedName>
    <definedName name="kblf" hidden="1">{#N/A,#N/A,FALSE,0}</definedName>
    <definedName name="ke" localSheetId="1" hidden="1">{#N/A,#N/A,FALSE,"Отчет о финансовых результатах"}</definedName>
    <definedName name="ke" hidden="1">{#N/A,#N/A,FALSE,"Отчет о финансовых результатах"}</definedName>
    <definedName name="kj" localSheetId="1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localSheetId="1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localSheetId="1" hidden="1">{#N/A,#N/A,FALSE,"Отчет о финансовых результатах"}</definedName>
    <definedName name="kkk" hidden="1">{#N/A,#N/A,FALSE,"Отчет о финансовых результатах"}</definedName>
    <definedName name="kli" localSheetId="1" hidden="1">{#N/A,#N/A,FALSE,"Отчет о финансовых результатах"}</definedName>
    <definedName name="kli" hidden="1">{#N/A,#N/A,FALSE,"Отчет о финансовых результатах"}</definedName>
    <definedName name="LastFiscalYear">[11]Variables!$B$7</definedName>
    <definedName name="luna" localSheetId="2">#REF!</definedName>
    <definedName name="luna" localSheetId="1">#REF!</definedName>
    <definedName name="luna">#REF!</definedName>
    <definedName name="montat_robinet_pe_conducta" localSheetId="2">[12]Q2013!#REF!</definedName>
    <definedName name="montat_robinet_pe_conducta" localSheetId="1">[12]Q2013!#REF!</definedName>
    <definedName name="montat_robinet_pe_conducta" localSheetId="0">[12]Q2013!#REF!</definedName>
    <definedName name="montat_robinet_pe_conducta">[13]Q2013!#REF!</definedName>
    <definedName name="MonthList">[3]TemplateLists!$C$2:$F$13</definedName>
    <definedName name="nbfgtreeeeeeeeeeeeeee" localSheetId="1" hidden="1">{#N/A,#N/A,FALSE,"Отчет о финансовых результатах"}</definedName>
    <definedName name="nbfgtreeeeeeeeeeeeeee" hidden="1">{#N/A,#N/A,FALSE,"Отчет о финансовых результатах"}</definedName>
    <definedName name="nn" localSheetId="1" hidden="1">{#N/A,#N/A,FALSE,"Отчет о финансовых результатах"}</definedName>
    <definedName name="nn" hidden="1">{#N/A,#N/A,FALSE,"Отчет о финансовых результатах"}</definedName>
    <definedName name="nnn" localSheetId="1" hidden="1">{#N/A,#N/A,FALSE,"Отчет о финансовых результатах"}</definedName>
    <definedName name="nnn" hidden="1">{#N/A,#N/A,FALSE,"Отчет о финансовых результатах"}</definedName>
    <definedName name="Notes_payable">[6]Scoping!$G$31</definedName>
    <definedName name="o" localSheetId="1">#REF!</definedName>
    <definedName name="o">#REF!</definedName>
    <definedName name="Off_Balance_Sheet_Adjustments">[3]Inputs!$A$375</definedName>
    <definedName name="operator" localSheetId="2">#REF!</definedName>
    <definedName name="operator" localSheetId="1">#REF!</definedName>
    <definedName name="operator">#REF!</definedName>
    <definedName name="OrgType">[3]FinSum!$L$6</definedName>
    <definedName name="p" localSheetId="1" hidden="1">{#N/A,#N/A,FALSE,"Отчет о финансовых результатах"}</definedName>
    <definedName name="p" hidden="1">{#N/A,#N/A,FALSE,"Отчет о финансовых результатах"}</definedName>
    <definedName name="Payables">[6]Scoping!$G$29</definedName>
    <definedName name="PensionInputs">[3]Inputs!$A$611</definedName>
    <definedName name="personal" localSheetId="2">#REF!</definedName>
    <definedName name="personal" localSheetId="1">#REF!</definedName>
    <definedName name="personal">#REF!</definedName>
    <definedName name="PI" localSheetId="1" hidden="1">{#N/A,#N/A,FALSE,"Отчет о финансовых результатах"}</definedName>
    <definedName name="PI" hidden="1">{#N/A,#N/A,FALSE,"Отчет о финансовых результатах"}</definedName>
    <definedName name="PPAInputs">[3]Inputs!$A$445</definedName>
    <definedName name="PPE">[6]Scoping!$G$24</definedName>
    <definedName name="ppppppppppppppppppppppp" localSheetId="1" hidden="1">{#N/A,#N/A,FALSE,"Отчет о финансовых результатах"}</definedName>
    <definedName name="ppppppppppppppppppppppp" hidden="1">{#N/A,#N/A,FALSE,"Отчет о финансовых результатах"}</definedName>
    <definedName name="_xlnm.Print_Area" localSheetId="2">' Tarife an 5'!$A$61:$J$159</definedName>
    <definedName name="_xlnm.Print_Area" localSheetId="1">' Tarife an Tr'!$A$61:$J$159</definedName>
    <definedName name="Print_Area_MI" localSheetId="2">' Tarife an 5'!#REF!</definedName>
    <definedName name="Print_Area_MI" localSheetId="1">' Tarife an Tr'!#REF!</definedName>
    <definedName name="Print_Area_MI" localSheetId="0">'Model simplificat tarife'!#REF!</definedName>
    <definedName name="Print_Area_MI">#REF!</definedName>
    <definedName name="programe" localSheetId="2">#REF!</definedName>
    <definedName name="programe" localSheetId="1">#REF!</definedName>
    <definedName name="programe">#REF!</definedName>
    <definedName name="PubDateY">[3]Inputs!$L$1599</definedName>
    <definedName name="PubDateY_1">[3]Inputs!$K$1599</definedName>
    <definedName name="PubDay">[3]Inputs!$F$1598</definedName>
    <definedName name="PubDenomCurrY">[3]Inputs!$L$1595</definedName>
    <definedName name="PubDenomCurrY_1">[3]Inputs!$K$1595</definedName>
    <definedName name="PubMonth">[3]Inputs!$F$1597</definedName>
    <definedName name="PubRecFirstRow" localSheetId="2">'[14]S&amp;P'!#REF!</definedName>
    <definedName name="PubRecFirstRow" localSheetId="1">'[14]S&amp;P'!#REF!</definedName>
    <definedName name="PubRecFirstRow">'[14]S&amp;P'!#REF!</definedName>
    <definedName name="PubRecName" localSheetId="2">'[14]S&amp;P'!#REF!</definedName>
    <definedName name="PubRecName" localSheetId="1">'[14]S&amp;P'!#REF!</definedName>
    <definedName name="PubRecName">'[14]S&amp;P'!#REF!</definedName>
    <definedName name="PubRowToDelete" localSheetId="2">'[14]S&amp;P'!#REF!</definedName>
    <definedName name="PubRowToDelete">'[14]S&amp;P'!#REF!</definedName>
    <definedName name="q" localSheetId="2">[12]Q2013!#REF!</definedName>
    <definedName name="q" localSheetId="1">[12]Q2013!#REF!</definedName>
    <definedName name="q">[12]Q2013!#REF!</definedName>
    <definedName name="qq" localSheetId="1" hidden="1">{#N/A,#N/A,FALSE,"Отчет о финансовых результатах"}</definedName>
    <definedName name="qq" hidden="1">{#N/A,#N/A,FALSE,"Отчет о финансовых результатах"}</definedName>
    <definedName name="qqqq" localSheetId="1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localSheetId="1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 localSheetId="2">#REF!</definedName>
    <definedName name="range_data" localSheetId="1">#REF!</definedName>
    <definedName name="range_data">#REF!</definedName>
    <definedName name="range_kernel_data" localSheetId="2">#REF!</definedName>
    <definedName name="range_kernel_data" localSheetId="1">#REF!</definedName>
    <definedName name="range_kernel_data">#REF!</definedName>
    <definedName name="RatingCode">[3]UtilityBenchmarks!$A$10:$D$20</definedName>
    <definedName name="RecDebtAdjustments">[3]Reconciliation!$B$126</definedName>
    <definedName name="RecDebtReported">[3]Reconciliation!$B$7</definedName>
    <definedName name="Receivables">[6]Scoping!$G$21</definedName>
    <definedName name="Reported_Financials">[3]Reports!$A$280</definedName>
    <definedName name="Reported_Ratios">[3]Reports!$A$92</definedName>
    <definedName name="ReportSheetCells">[3]Reports!$F$33:$K$91,[3]Reports!$F$94:$K$434</definedName>
    <definedName name="RestatValidation">[3]Inputs!$C$24:$C$28</definedName>
    <definedName name="Revenue">[6]Scoping!$G$33</definedName>
    <definedName name="rrey" localSheetId="1" hidden="1">{#N/A,#N/A,FALSE,"Отчет о финансовых результатах"}</definedName>
    <definedName name="rrey" hidden="1">{#N/A,#N/A,FALSE,"Отчет о финансовых результатах"}</definedName>
    <definedName name="rrrr" localSheetId="1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localSheetId="1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localSheetId="1" hidden="1">{#N/A,#N/A,FALSE,"Отчет о финансовых результатах"}</definedName>
    <definedName name="rtuv" hidden="1">{#N/A,#N/A,FALSE,"Отчет о финансовых результатах"}</definedName>
    <definedName name="S_O_Table">[3]FinSum!$M$8:$N$66</definedName>
    <definedName name="sdfsdf" localSheetId="1" hidden="1">{#N/A,#N/A,FALSE,"Отчет о финансовых результатах"}</definedName>
    <definedName name="sdfsdf" hidden="1">{#N/A,#N/A,FALSE,"Отчет о финансовых результатах"}</definedName>
    <definedName name="sdfsdfsddddd" localSheetId="1" hidden="1">{#N/A,#N/A,FALSE,"Отчет о финансовых результатах"}</definedName>
    <definedName name="sdfsdfsddddd" hidden="1">{#N/A,#N/A,FALSE,"Отчет о финансовых результатах"}</definedName>
    <definedName name="sdfsdggsd" localSheetId="1" hidden="1">{#N/A,#N/A,FALSE,0}</definedName>
    <definedName name="sdfsdggsd" hidden="1">{#N/A,#N/A,FALSE,0}</definedName>
    <definedName name="sdsgfgf" localSheetId="1" hidden="1">{#N/A,#N/A,FALSE,"Отчет о финансовых результатах"}</definedName>
    <definedName name="sdsgfgf" hidden="1">{#N/A,#N/A,FALSE,"Отчет о финансовых результатах"}</definedName>
    <definedName name="sgfgfgf" localSheetId="1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 localSheetId="2">[12]Q2013!#REF!</definedName>
    <definedName name="sss" localSheetId="1">[12]Q2013!#REF!</definedName>
    <definedName name="sss">[12]Q2013!#REF!</definedName>
    <definedName name="ssss" localSheetId="1" hidden="1">{#N/A,#N/A,FALSE,"Отчет о финансовых результатах"}</definedName>
    <definedName name="ssss" hidden="1">{#N/A,#N/A,FALSE,"Отчет о финансовых результатах"}</definedName>
    <definedName name="sssss" localSheetId="2">#REF!</definedName>
    <definedName name="sssss" localSheetId="1">#REF!</definedName>
    <definedName name="sssss">#REF!</definedName>
    <definedName name="ssssssssssssssssssss" localSheetId="1" hidden="1">{#N/A,#N/A,FALSE,"Отчет о финансовых результатах"}</definedName>
    <definedName name="ssssssssssssssssssss" hidden="1">{#N/A,#N/A,FALSE,"Отчет о финансовых результатах"}</definedName>
    <definedName name="ssssssssssssssssssssssssssssssss" localSheetId="1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 localSheetId="2">'[15]Plan (2)'!#REF!</definedName>
    <definedName name="SUMA" localSheetId="1">'[15]Plan (2)'!#REF!</definedName>
    <definedName name="SUMA">'[15]Plan (2)'!#REF!</definedName>
    <definedName name="Supplemental_Stats">[3]Reports!$A$146</definedName>
    <definedName name="Supplemental_StatsReported">[3]Reports!$A$216</definedName>
    <definedName name="SurplusCash">[3]Inputs!$A$376</definedName>
    <definedName name="Taxes">[6]Scoping!$G$32</definedName>
    <definedName name="TemplateName">"Global Industrial Annual v135 - Test.xls"</definedName>
    <definedName name="TemplateSaveName">"GCA v4.4"</definedName>
    <definedName name="TemplateTitle">[3]Inputs!$H$1</definedName>
    <definedName name="ToHideColInputs">[3]Inputs!$D:$F,[3]Inputs!$B:$B</definedName>
    <definedName name="TotDebt_Cap">[3]UtilityBenchmarks!$A$54:$H$63</definedName>
    <definedName name="tr" localSheetId="1" hidden="1">{#N/A,#N/A,FALSE,0}</definedName>
    <definedName name="tr" hidden="1">{#N/A,#N/A,FALSE,0}</definedName>
    <definedName name="TRSold">[3]Inputs!$A$393</definedName>
    <definedName name="U_Only">[3]FinSum!$A$28,[3]FinSum!$A$47,[3]FinSum!$A$49,[3]FinSum!$A$50,[3]FinSum!$A$51,[3]FinSum!$A$52</definedName>
    <definedName name="uuiuoiopo" localSheetId="1" hidden="1">{#N/A,#N/A,FALSE,"Отчет о финансовых результатах"}</definedName>
    <definedName name="uuiuoiopo" hidden="1">{#N/A,#N/A,FALSE,"Отчет о финансовых результатах"}</definedName>
    <definedName name="uuu" localSheetId="1" hidden="1">{#N/A,#N/A,FALSE,"Отчет о финансовых результатах"}</definedName>
    <definedName name="uuu" hidden="1">{#N/A,#N/A,FALSE,"Отчет о финансовых результатах"}</definedName>
    <definedName name="uuuu" localSheetId="1" hidden="1">{#N/A,#N/A,FALSE,"Отчет о финансовых результатах"}</definedName>
    <definedName name="uuuu" hidden="1">{#N/A,#N/A,FALSE,"Отчет о финансовых результатах"}</definedName>
    <definedName name="VALOARE" localSheetId="2">'[15]Plan (2)'!#REF!</definedName>
    <definedName name="VALOARE">'[15]Plan (2)'!#REF!</definedName>
    <definedName name="Vdovina" localSheetId="1" hidden="1">{#N/A,#N/A,FALSE,"Отчет о финансовых результатах"}</definedName>
    <definedName name="Vdovina" hidden="1">{#N/A,#N/A,FALSE,"Отчет о финансовых результатах"}</definedName>
    <definedName name="Version">[3]Inputs!$G$1580</definedName>
    <definedName name="vvvv" localSheetId="1" hidden="1">{#N/A,#N/A,FALSE,"Отчет о финансовых результатах"}</definedName>
    <definedName name="vvvv" hidden="1">{#N/A,#N/A,FALSE,"Отчет о финансовых результатах"}</definedName>
    <definedName name="vvvvv" localSheetId="1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localSheetId="1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localSheetId="1" hidden="1">{#N/A,#N/A,FALSE,"Отчет о финансовых результатах"}</definedName>
    <definedName name="wrn.ффф." hidden="1">{#N/A,#N/A,FALSE,"Отчет о финансовых результатах"}</definedName>
    <definedName name="wrnnn" localSheetId="1" hidden="1">{#N/A,#N/A,FALSE,"Отчет о финансовых результатах"}</definedName>
    <definedName name="wrnnn" hidden="1">{#N/A,#N/A,FALSE,"Отчет о финансовых результатах"}</definedName>
    <definedName name="XXX" localSheetId="2">#REF!</definedName>
    <definedName name="XXX" localSheetId="1">#REF!</definedName>
    <definedName name="XXX">#REF!</definedName>
    <definedName name="xy" localSheetId="2">#REF!</definedName>
    <definedName name="xy" localSheetId="1">#REF!</definedName>
    <definedName name="xy">#REF!</definedName>
    <definedName name="YesNoNa">[6]Scoping!$G$2:$G$5</definedName>
    <definedName name="YrIndex">[3]FinSum!$L$5</definedName>
    <definedName name="ZNoDecimal">[3]Inputs!$E$17:$AA$17,[3]Inputs!$E$23:$AA$23</definedName>
    <definedName name="а" localSheetId="1" hidden="1">{#N/A,#N/A,FALSE,"Отчет о финансовых результатах"}</definedName>
    <definedName name="а" hidden="1">{#N/A,#N/A,FALSE,"Отчет о финансовых результатах"}</definedName>
    <definedName name="а3" localSheetId="1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localSheetId="1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localSheetId="1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localSheetId="1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localSheetId="1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localSheetId="1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localSheetId="1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localSheetId="1" hidden="1">{#N/A,#N/A,FALSE,"Отчет о финансовых результатах"}</definedName>
    <definedName name="ан" hidden="1">{#N/A,#N/A,FALSE,"Отчет о финансовых результатах"}</definedName>
    <definedName name="Ан.прир" localSheetId="1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localSheetId="1" hidden="1">{#N/A,#N/A,FALSE,"Отчет о финансовых результатах"}</definedName>
    <definedName name="анализ" hidden="1">{#N/A,#N/A,FALSE,"Отчет о финансовых результатах"}</definedName>
    <definedName name="аня" localSheetId="1" hidden="1">{#N/A,#N/A,FALSE,"Отчет о финансовых результатах"}</definedName>
    <definedName name="аня" hidden="1">{#N/A,#N/A,FALSE,"Отчет о финансовых результатах"}</definedName>
    <definedName name="аняяя" localSheetId="1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localSheetId="1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localSheetId="1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localSheetId="1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localSheetId="1" hidden="1">{#N/A,#N/A,FALSE,"Отчет о финансовых результатах"}</definedName>
    <definedName name="в1" hidden="1">{#N/A,#N/A,FALSE,"Отчет о финансовых результатах"}</definedName>
    <definedName name="в2" localSheetId="1" hidden="1">{#N/A,#N/A,FALSE,"Отчет о финансовых результатах"}</definedName>
    <definedName name="в2" hidden="1">{#N/A,#N/A,FALSE,"Отчет о финансовых результатах"}</definedName>
    <definedName name="в3" localSheetId="1" hidden="1">{#VALUE!,#N/A,FALSE,0}</definedName>
    <definedName name="в3" hidden="1">{#VALUE!,#N/A,FALSE,0}</definedName>
    <definedName name="в6" localSheetId="1" hidden="1">{#VALUE!,#N/A,FALSE,0}</definedName>
    <definedName name="в6" hidden="1">{#VALUE!,#N/A,FALSE,0}</definedName>
    <definedName name="в9" localSheetId="1" hidden="1">{0,0,0,0}</definedName>
    <definedName name="в9" hidden="1">{0,0,0,0}</definedName>
    <definedName name="ввыы" localSheetId="1" hidden="1">{#N/A,#N/A,FALSE,"Отчет о финансовых результатах"}</definedName>
    <definedName name="ввыы" hidden="1">{#N/A,#N/A,FALSE,"Отчет о финансовых результатах"}</definedName>
    <definedName name="влияние" localSheetId="1" hidden="1">{#N/A,#N/A,FALSE,"Отчет о финансовых результатах"}</definedName>
    <definedName name="влияние" hidden="1">{#N/A,#N/A,FALSE,"Отчет о финансовых результатах"}</definedName>
    <definedName name="газ" localSheetId="1" hidden="1">{#N/A,#N/A,FALSE,"Отчет о финансовых результатах"}</definedName>
    <definedName name="газ" hidden="1">{#N/A,#N/A,FALSE,"Отчет о финансовых результатах"}</definedName>
    <definedName name="гг" localSheetId="1" hidden="1">{#N/A,#N/A,FALSE,"Отчет о финансовых результатах"}</definedName>
    <definedName name="гг" hidden="1">{#N/A,#N/A,FALSE,"Отчет о финансовых результатах"}</definedName>
    <definedName name="ггг" localSheetId="1" hidden="1">{#N/A,#N/A,FALSE,"Отчет о финансовых результатах"}</definedName>
    <definedName name="ггг" hidden="1">{#N/A,#N/A,FALSE,"Отчет о финансовых результатах"}</definedName>
    <definedName name="гшаакб" localSheetId="1" hidden="1">{#N/A,#N/A,FALSE,"Отчет о финансовых результатах"}</definedName>
    <definedName name="гшаакб" hidden="1">{#N/A,#N/A,FALSE,"Отчет о финансовых результатах"}</definedName>
    <definedName name="данн" localSheetId="1" hidden="1">{#N/A,#N/A,FALSE,"Отчет о финансовых результатах"}</definedName>
    <definedName name="данн" hidden="1">{#N/A,#N/A,FALSE,"Отчет о финансовых результатах"}</definedName>
    <definedName name="Дин" localSheetId="1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localSheetId="1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localSheetId="1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localSheetId="1" hidden="1">{#N/A,#N/A,FALSE,"Отчет о финансовых результатах"}</definedName>
    <definedName name="екут8г" hidden="1">{#N/A,#N/A,FALSE,"Отчет о финансовых результатах"}</definedName>
    <definedName name="еукф" localSheetId="1" hidden="1">{#N/A,#N/A,FALSE,0}</definedName>
    <definedName name="еукф" hidden="1">{#N/A,#N/A,FALSE,0}</definedName>
    <definedName name="ешкщщ" localSheetId="1" hidden="1">{#N/A,#N/A,FALSE,"Отчет о финансовых результатах"}</definedName>
    <definedName name="ешкщщ" hidden="1">{#N/A,#N/A,FALSE,"Отчет о финансовых результатах"}</definedName>
    <definedName name="ждлрааааааааааааааааа" localSheetId="1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localSheetId="1" hidden="1">{#N/A,#N/A,FALSE,"Отчет о финансовых результатах"}</definedName>
    <definedName name="жэ" hidden="1">{#N/A,#N/A,FALSE,"Отчет о финансовых результатах"}</definedName>
    <definedName name="ззз" localSheetId="1" hidden="1">{#N/A,#N/A,FALSE,"Отчет о финансовых результатах"}</definedName>
    <definedName name="ззз" hidden="1">{#N/A,#N/A,FALSE,"Отчет о финансовых результатах"}</definedName>
    <definedName name="и1" localSheetId="1" hidden="1">{#N/A,#N/A,FALSE,"Отчет о финансовых результатах"}</definedName>
    <definedName name="и1" hidden="1">{#N/A,#N/A,FALSE,"Отчет о финансовых результатах"}</definedName>
    <definedName name="й2" localSheetId="1" hidden="1">{#N/A,#N/A,FALSE,"Отчет о финансовых результатах"}</definedName>
    <definedName name="й2" hidden="1">{#N/A,#N/A,FALSE,"Отчет о финансовых результатах"}</definedName>
    <definedName name="й3" localSheetId="1" hidden="1">{#N/A,#N/A,FALSE,"Отчет о финансовых результатах"}</definedName>
    <definedName name="й3" hidden="1">{#N/A,#N/A,FALSE,"Отчет о финансовых результатах"}</definedName>
    <definedName name="ион" localSheetId="1" hidden="1">{#N/A,#N/A,FALSE,"Отчет о финансовых результатах"}</definedName>
    <definedName name="ион" hidden="1">{#N/A,#N/A,FALSE,"Отчет о финансовых результатах"}</definedName>
    <definedName name="ию" localSheetId="1" hidden="1">{#N/A,#N/A,FALSE,"Отчет о финансовых результатах"}</definedName>
    <definedName name="ию" hidden="1">{#N/A,#N/A,FALSE,"Отчет о финансовых результатах"}</definedName>
    <definedName name="ке" localSheetId="1" hidden="1">{#N/A,#N/A,FALSE,"Отчет о финансовых результатах"}</definedName>
    <definedName name="ке" hidden="1">{#N/A,#N/A,FALSE,"Отчет о финансовых результатах"}</definedName>
    <definedName name="ке1" localSheetId="1" hidden="1">{#N/A,#N/A,FALSE,"Отчет о финансовых результатах"}</definedName>
    <definedName name="ке1" hidden="1">{#N/A,#N/A,FALSE,"Отчет о финансовых результатах"}</definedName>
    <definedName name="лд" localSheetId="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localSheetId="1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localSheetId="1" hidden="1">{#N/A,#N/A,FALSE,"Отчет о финансовых результатах"}</definedName>
    <definedName name="люда" hidden="1">{#N/A,#N/A,FALSE,"Отчет о финансовых результатах"}</definedName>
    <definedName name="март" localSheetId="1" hidden="1">{#N/A,#N/A,FALSE,"Отчет о финансовых результатах"}</definedName>
    <definedName name="март" hidden="1">{#N/A,#N/A,FALSE,"Отчет о финансовых результатах"}</definedName>
    <definedName name="маст" localSheetId="1" hidden="1">{#N/A,#N/A,FALSE,"Отчет о финансовых результатах"}</definedName>
    <definedName name="маст" hidden="1">{#N/A,#N/A,FALSE,"Отчет о финансовых результатах"}</definedName>
    <definedName name="миппсо" localSheetId="1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localSheetId="1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localSheetId="1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localSheetId="1" hidden="1">{#N/A,#N/A,FALSE,"Отчет о финансовых результатах"}</definedName>
    <definedName name="ннн" hidden="1">{#N/A,#N/A,FALSE,"Отчет о финансовых результатах"}</definedName>
    <definedName name="обдасть" localSheetId="1" hidden="1">{#N/A,#N/A,FALSE,"Отчет о финансовых результатах"}</definedName>
    <definedName name="обдасть" hidden="1">{#N/A,#N/A,FALSE,"Отчет о финансовых результатах"}</definedName>
    <definedName name="ол" localSheetId="1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localSheetId="1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localSheetId="1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localSheetId="1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localSheetId="1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localSheetId="1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localSheetId="1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localSheetId="1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localSheetId="1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localSheetId="1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localSheetId="1" hidden="1">{#N/A,#N/A,FALSE,"Отчет о финансовых результатах"}</definedName>
    <definedName name="пред" hidden="1">{#N/A,#N/A,FALSE,"Отчет о финансовых результатах"}</definedName>
    <definedName name="пред2" localSheetId="1" hidden="1">{#N/A,#N/A,FALSE,"Отчет о финансовых результатах"}</definedName>
    <definedName name="пред2" hidden="1">{#N/A,#N/A,FALSE,"Отчет о финансовых результатах"}</definedName>
    <definedName name="пролд" localSheetId="1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localSheetId="1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localSheetId="1" hidden="1">{#N/A,#N/A,FALSE,"Отчет о финансовых результатах"}</definedName>
    <definedName name="прпавр" hidden="1">{#N/A,#N/A,FALSE,"Отчет о финансовых результатах"}</definedName>
    <definedName name="прпо" localSheetId="1" hidden="1">{#N/A,#N/A,FALSE,"Отчет о финансовых результатах"}</definedName>
    <definedName name="прпо" hidden="1">{#N/A,#N/A,FALSE,"Отчет о финансовых результатах"}</definedName>
    <definedName name="пррррр" localSheetId="1" hidden="1">{#N/A,#N/A,FALSE,"Отчет о финансовых результатах"}</definedName>
    <definedName name="пррррр" hidden="1">{#N/A,#N/A,FALSE,"Отчет о финансовых результатах"}</definedName>
    <definedName name="РАСЧ" localSheetId="1" hidden="1">{#N/A,#N/A,FALSE,0}</definedName>
    <definedName name="РАСЧ" hidden="1">{#N/A,#N/A,FALSE,0}</definedName>
    <definedName name="рез" localSheetId="1" hidden="1">{#N/A,#N/A,FALSE,"Отчет о финансовых результатах"}</definedName>
    <definedName name="рез" hidden="1">{#N/A,#N/A,FALSE,"Отчет о финансовых результатах"}</definedName>
    <definedName name="рораоарл" localSheetId="1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localSheetId="1" hidden="1">{#N/A,#N/A,FALSE,"Отчет о финансовых результатах"}</definedName>
    <definedName name="свод" hidden="1">{#N/A,#N/A,FALSE,"Отчет о финансовых результатах"}</definedName>
    <definedName name="сводпп" localSheetId="1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localSheetId="1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localSheetId="1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localSheetId="1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localSheetId="1" hidden="1">{#N/A,#N/A,FALSE,"Отчет о финансовых результатах"}</definedName>
    <definedName name="Стр" hidden="1">{#N/A,#N/A,FALSE,"Отчет о финансовых результатах"}</definedName>
    <definedName name="т" localSheetId="1" hidden="1">{#N/A,#N/A,FALSE,"Отчет о финансовых результатах"}</definedName>
    <definedName name="т" hidden="1">{#N/A,#N/A,FALSE,"Отчет о финансовых результатах"}</definedName>
    <definedName name="Тамара" localSheetId="1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localSheetId="1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localSheetId="1" hidden="1">{#N/A,#N/A,FALSE,"Отчет о финансовых результатах"}</definedName>
    <definedName name="ттттт" hidden="1">{#N/A,#N/A,FALSE,"Отчет о финансовых результатах"}</definedName>
    <definedName name="уккак" localSheetId="1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localSheetId="1" hidden="1">{#N/A,#N/A,FALSE,"Отчет о финансовых результатах"}</definedName>
    <definedName name="уккнцц" hidden="1">{#N/A,#N/A,FALSE,"Отчет о финансовых результатах"}</definedName>
    <definedName name="уууу" localSheetId="1" hidden="1">{#N/A,#N/A,FALSE,"Отчет о финансовых результатах"}</definedName>
    <definedName name="уууу" hidden="1">{#N/A,#N/A,FALSE,"Отчет о финансовых результатах"}</definedName>
    <definedName name="Ф" localSheetId="1" hidden="1">{#N/A,#N/A,FALSE,0}</definedName>
    <definedName name="Ф" hidden="1">{#N/A,#N/A,FALSE,0}</definedName>
    <definedName name="ф1" localSheetId="1" hidden="1">{#N/A,#N/A,FALSE,"Отчет о финансовых результатах"}</definedName>
    <definedName name="ф1" hidden="1">{#N/A,#N/A,FALSE,"Отчет о финансовых результатах"}</definedName>
    <definedName name="ф2" localSheetId="1" hidden="1">{#N/A,#N/A,FALSE,"Отчет о финансовых результатах"}</definedName>
    <definedName name="ф2" hidden="1">{#N/A,#N/A,FALSE,"Отчет о финансовых результатах"}</definedName>
    <definedName name="ф3" localSheetId="1" hidden="1">{#N/A,#N/A,FALSE,"Отчет о финансовых результатах"}</definedName>
    <definedName name="ф3" hidden="1">{#N/A,#N/A,FALSE,"Отчет о финансовых результатах"}</definedName>
    <definedName name="Факт" localSheetId="1" hidden="1">{#N/A,#N/A,FALSE,"Отчет о финансовых результатах"}</definedName>
    <definedName name="Факт" hidden="1">{#N/A,#N/A,FALSE,"Отчет о финансовых результатах"}</definedName>
    <definedName name="Фактор" localSheetId="1" hidden="1">{#N/A,#N/A,FALSE,"Отчет о финансовых результатах"}</definedName>
    <definedName name="Фактор" hidden="1">{#N/A,#N/A,FALSE,"Отчет о финансовых результатах"}</definedName>
    <definedName name="Фффф" localSheetId="1" hidden="1">{#N/A,#N/A,FALSE,"Отчет о финансовых результатах"}</definedName>
    <definedName name="Фффф" hidden="1">{#N/A,#N/A,FALSE,"Отчет о финансовых результатах"}</definedName>
    <definedName name="фыы" localSheetId="1" hidden="1">{#N/A,#N/A,FALSE,"Отчет о финансовых результатах"}</definedName>
    <definedName name="фыы" hidden="1">{#N/A,#N/A,FALSE,"Отчет о финансовых результатах"}</definedName>
    <definedName name="ххх" localSheetId="1" hidden="1">{#N/A,#N/A,FALSE,"Отчет о финансовых результатах"}</definedName>
    <definedName name="ххх" hidden="1">{#N/A,#N/A,FALSE,"Отчет о финансовых результатах"}</definedName>
    <definedName name="ц3" localSheetId="1" hidden="1">{#N/A,#N/A,FALSE,"Отчет о финансовых результатах"}</definedName>
    <definedName name="ц3" hidden="1">{#N/A,#N/A,FALSE,"Отчет о финансовых результатах"}</definedName>
    <definedName name="шлор" localSheetId="1" hidden="1">{#N/A,#N/A,FALSE,"Отчет о финансовых результатах"}</definedName>
    <definedName name="шлор" hidden="1">{#N/A,#N/A,FALSE,"Отчет о финансовых результатах"}</definedName>
    <definedName name="шолт" localSheetId="1" hidden="1">{#N/A,#N/A,FALSE,"Отчет о финансовых результатах"}</definedName>
    <definedName name="шолт" hidden="1">{#N/A,#N/A,FALSE,"Отчет о финансовых результатах"}</definedName>
    <definedName name="шшш" localSheetId="1" hidden="1">{#N/A,#N/A,FALSE,"Отчет о финансовых результатах"}</definedName>
    <definedName name="шшш" hidden="1">{#N/A,#N/A,FALSE,"Отчет о финансовых результатах"}</definedName>
    <definedName name="щолт" localSheetId="1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localSheetId="1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localSheetId="1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localSheetId="1" hidden="1">{#N/A,#N/A,FALSE,0}</definedName>
    <definedName name="юбьт" hidden="1">{#N/A,#N/A,FALSE,0}</definedName>
    <definedName name="юююююююююююююююююююююююю" localSheetId="1" hidden="1">{#N/A,#N/A,FALSE,"Отчет о финансовых результатах"}</definedName>
    <definedName name="юююююююююююююююююююююююю" hidden="1">{#N/A,#N/A,FALSE,"Отчет о финансовых результатах"}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0" i="1" l="1"/>
  <c r="Y51" i="1" s="1"/>
  <c r="X50" i="1"/>
  <c r="X51" i="1" s="1"/>
  <c r="U50" i="1"/>
  <c r="U51" i="1" s="1"/>
  <c r="T50" i="1"/>
  <c r="T51" i="1" s="1"/>
  <c r="Q50" i="1"/>
  <c r="Q51" i="1" s="1"/>
  <c r="P50" i="1"/>
  <c r="P51" i="1" s="1"/>
  <c r="M50" i="1"/>
  <c r="M51" i="1" s="1"/>
  <c r="L50" i="1"/>
  <c r="L51" i="1" s="1"/>
  <c r="I50" i="1"/>
  <c r="I51" i="1" s="1"/>
  <c r="H50" i="1"/>
  <c r="H51" i="1" s="1"/>
  <c r="C46" i="1" l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B4" i="1"/>
  <c r="I264" i="3"/>
  <c r="I246" i="3"/>
  <c r="H245" i="3"/>
  <c r="H264" i="3"/>
  <c r="I247" i="3"/>
  <c r="H247" i="3"/>
  <c r="H246" i="3"/>
  <c r="I244" i="3"/>
  <c r="I161" i="3"/>
  <c r="E29" i="3"/>
  <c r="E17" i="3"/>
  <c r="B71" i="3"/>
  <c r="B72" i="3" s="1"/>
  <c r="B73" i="3" s="1"/>
  <c r="B74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6" i="3" s="1"/>
  <c r="B117" i="3" s="1"/>
  <c r="B118" i="3" s="1"/>
  <c r="B119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D69" i="3"/>
  <c r="B69" i="3"/>
  <c r="B68" i="3"/>
  <c r="B67" i="3"/>
  <c r="D46" i="3"/>
  <c r="O46" i="3" s="1"/>
  <c r="E45" i="3"/>
  <c r="E42" i="3"/>
  <c r="E39" i="3"/>
  <c r="O34" i="3"/>
  <c r="D34" i="3"/>
  <c r="O32" i="3"/>
  <c r="N32" i="3"/>
  <c r="Y31" i="3"/>
  <c r="W31" i="3" s="1"/>
  <c r="X31" i="3"/>
  <c r="V31" i="3" s="1"/>
  <c r="O31" i="3"/>
  <c r="N31" i="3"/>
  <c r="E30" i="3"/>
  <c r="E47" i="3" s="1"/>
  <c r="N29" i="3"/>
  <c r="D29" i="3"/>
  <c r="E28" i="3"/>
  <c r="E27" i="3"/>
  <c r="E44" i="3" s="1"/>
  <c r="E26" i="3"/>
  <c r="E43" i="3" s="1"/>
  <c r="E25" i="3"/>
  <c r="E24" i="3"/>
  <c r="E41" i="3" s="1"/>
  <c r="E23" i="3"/>
  <c r="E40" i="3" s="1"/>
  <c r="E22" i="3"/>
  <c r="E21" i="3"/>
  <c r="E38" i="3" s="1"/>
  <c r="E20" i="3"/>
  <c r="E37" i="3" s="1"/>
  <c r="D20" i="3"/>
  <c r="O20" i="3" s="1"/>
  <c r="E19" i="3"/>
  <c r="E36" i="3" s="1"/>
  <c r="D19" i="3"/>
  <c r="I19" i="3" s="1"/>
  <c r="I252" i="3" s="1"/>
  <c r="O18" i="3"/>
  <c r="H18" i="3"/>
  <c r="H251" i="3" s="1"/>
  <c r="E18" i="3"/>
  <c r="E35" i="3" s="1"/>
  <c r="D18" i="3"/>
  <c r="D35" i="3" s="1"/>
  <c r="O35" i="3" s="1"/>
  <c r="G51" i="3"/>
  <c r="D17" i="3"/>
  <c r="O16" i="3"/>
  <c r="E16" i="3"/>
  <c r="E33" i="3" s="1"/>
  <c r="D16" i="3"/>
  <c r="N16" i="3" s="1"/>
  <c r="I15" i="3"/>
  <c r="I248" i="3" s="1"/>
  <c r="E15" i="3"/>
  <c r="E32" i="3" s="1"/>
  <c r="D15" i="3"/>
  <c r="D32" i="3" s="1"/>
  <c r="I32" i="3" s="1"/>
  <c r="I265" i="3" s="1"/>
  <c r="Y14" i="3"/>
  <c r="X14" i="3"/>
  <c r="W14" i="3"/>
  <c r="V14" i="3"/>
  <c r="Y13" i="3"/>
  <c r="W13" i="3" s="1"/>
  <c r="X13" i="3"/>
  <c r="V13" i="3" s="1"/>
  <c r="X12" i="3"/>
  <c r="V12" i="3" s="1"/>
  <c r="Y11" i="3"/>
  <c r="M11" i="3"/>
  <c r="Y5" i="1"/>
  <c r="X5" i="1"/>
  <c r="U5" i="1"/>
  <c r="T5" i="1"/>
  <c r="Q5" i="1"/>
  <c r="P5" i="1"/>
  <c r="M5" i="1"/>
  <c r="L5" i="1"/>
  <c r="E34" i="3" l="1"/>
  <c r="I17" i="3"/>
  <c r="I250" i="3" s="1"/>
  <c r="H17" i="3"/>
  <c r="H250" i="3" s="1"/>
  <c r="E46" i="3"/>
  <c r="I46" i="3" s="1"/>
  <c r="I279" i="3" s="1"/>
  <c r="I29" i="3"/>
  <c r="I262" i="3" s="1"/>
  <c r="H29" i="3"/>
  <c r="H262" i="3" s="1"/>
  <c r="G50" i="3"/>
  <c r="N17" i="3"/>
  <c r="F50" i="3"/>
  <c r="D33" i="3"/>
  <c r="I18" i="3"/>
  <c r="I251" i="3" s="1"/>
  <c r="N15" i="3"/>
  <c r="H16" i="3"/>
  <c r="H249" i="3" s="1"/>
  <c r="O17" i="3"/>
  <c r="D22" i="3"/>
  <c r="H34" i="3"/>
  <c r="H267" i="3" s="1"/>
  <c r="N34" i="3"/>
  <c r="D36" i="3"/>
  <c r="D173" i="3"/>
  <c r="D4" i="3"/>
  <c r="O15" i="3"/>
  <c r="I16" i="3"/>
  <c r="I249" i="3" s="1"/>
  <c r="H19" i="3"/>
  <c r="H252" i="3" s="1"/>
  <c r="N20" i="3"/>
  <c r="O29" i="3"/>
  <c r="H32" i="3"/>
  <c r="H265" i="3" s="1"/>
  <c r="F52" i="3"/>
  <c r="D37" i="3"/>
  <c r="D10" i="3"/>
  <c r="F51" i="3"/>
  <c r="N18" i="3"/>
  <c r="H35" i="3"/>
  <c r="H268" i="3" s="1"/>
  <c r="I35" i="3"/>
  <c r="I268" i="3" s="1"/>
  <c r="H167" i="3"/>
  <c r="D165" i="3"/>
  <c r="H46" i="3"/>
  <c r="H279" i="3" s="1"/>
  <c r="N46" i="3"/>
  <c r="H15" i="3"/>
  <c r="H248" i="3" s="1"/>
  <c r="F49" i="3"/>
  <c r="N19" i="3"/>
  <c r="H20" i="3"/>
  <c r="H253" i="3" s="1"/>
  <c r="N35" i="3"/>
  <c r="G49" i="3"/>
  <c r="O19" i="3"/>
  <c r="I20" i="3"/>
  <c r="I253" i="3" s="1"/>
  <c r="D21" i="3"/>
  <c r="I264" i="2"/>
  <c r="H264" i="2"/>
  <c r="I247" i="2"/>
  <c r="H247" i="2"/>
  <c r="I246" i="2"/>
  <c r="H246" i="2"/>
  <c r="H245" i="2"/>
  <c r="I244" i="2"/>
  <c r="I161" i="2"/>
  <c r="E20" i="2"/>
  <c r="E37" i="2" s="1"/>
  <c r="B79" i="2"/>
  <c r="B80" i="2" s="1"/>
  <c r="B81" i="2" s="1"/>
  <c r="B82" i="2" s="1"/>
  <c r="B83" i="2" s="1"/>
  <c r="B84" i="2" s="1"/>
  <c r="B85" i="2" s="1"/>
  <c r="B86" i="2" s="1"/>
  <c r="B87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6" i="2" s="1"/>
  <c r="B117" i="2" s="1"/>
  <c r="B118" i="2" s="1"/>
  <c r="B119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D69" i="2"/>
  <c r="B67" i="2"/>
  <c r="B68" i="2" s="1"/>
  <c r="B69" i="2" s="1"/>
  <c r="B71" i="2" s="1"/>
  <c r="B72" i="2" s="1"/>
  <c r="B73" i="2" s="1"/>
  <c r="B74" i="2" s="1"/>
  <c r="B76" i="2" s="1"/>
  <c r="B77" i="2" s="1"/>
  <c r="B78" i="2" s="1"/>
  <c r="D46" i="2"/>
  <c r="D38" i="2"/>
  <c r="D37" i="2"/>
  <c r="D36" i="2"/>
  <c r="D35" i="2"/>
  <c r="O35" i="2" s="1"/>
  <c r="D34" i="2"/>
  <c r="E32" i="2"/>
  <c r="Y31" i="2"/>
  <c r="X31" i="2"/>
  <c r="V31" i="2" s="1"/>
  <c r="W31" i="2"/>
  <c r="O31" i="2"/>
  <c r="N31" i="2"/>
  <c r="E30" i="2"/>
  <c r="E47" i="2" s="1"/>
  <c r="E29" i="2"/>
  <c r="E46" i="2" s="1"/>
  <c r="D29" i="2"/>
  <c r="N29" i="2" s="1"/>
  <c r="E28" i="2"/>
  <c r="E45" i="2" s="1"/>
  <c r="E27" i="2"/>
  <c r="E44" i="2" s="1"/>
  <c r="E26" i="2"/>
  <c r="E43" i="2" s="1"/>
  <c r="E25" i="2"/>
  <c r="E42" i="2" s="1"/>
  <c r="E24" i="2"/>
  <c r="E41" i="2" s="1"/>
  <c r="E23" i="2"/>
  <c r="E40" i="2" s="1"/>
  <c r="E22" i="2"/>
  <c r="E39" i="2" s="1"/>
  <c r="H21" i="2"/>
  <c r="H254" i="2" s="1"/>
  <c r="E21" i="2"/>
  <c r="E38" i="2" s="1"/>
  <c r="D21" i="2"/>
  <c r="O21" i="2" s="1"/>
  <c r="I20" i="2"/>
  <c r="I253" i="2" s="1"/>
  <c r="D20" i="2"/>
  <c r="H20" i="2" s="1"/>
  <c r="H253" i="2" s="1"/>
  <c r="E19" i="2"/>
  <c r="D19" i="2"/>
  <c r="E18" i="2"/>
  <c r="D18" i="2"/>
  <c r="G51" i="2"/>
  <c r="F51" i="2"/>
  <c r="E17" i="2"/>
  <c r="D17" i="2"/>
  <c r="E16" i="2"/>
  <c r="E33" i="2" s="1"/>
  <c r="D16" i="2"/>
  <c r="N15" i="2"/>
  <c r="I15" i="2"/>
  <c r="I248" i="2" s="1"/>
  <c r="E15" i="2"/>
  <c r="D15" i="2"/>
  <c r="Y14" i="2"/>
  <c r="X14" i="2"/>
  <c r="W14" i="2"/>
  <c r="V14" i="2"/>
  <c r="Y13" i="2"/>
  <c r="X13" i="2"/>
  <c r="V13" i="2" s="1"/>
  <c r="W13" i="2"/>
  <c r="X12" i="2"/>
  <c r="V12" i="2"/>
  <c r="Y11" i="2"/>
  <c r="M11" i="2"/>
  <c r="D5" i="1"/>
  <c r="D38" i="3" l="1"/>
  <c r="D24" i="3"/>
  <c r="O21" i="3"/>
  <c r="N21" i="3"/>
  <c r="I21" i="3"/>
  <c r="I254" i="3" s="1"/>
  <c r="H21" i="3"/>
  <c r="H254" i="3" s="1"/>
  <c r="G4" i="3"/>
  <c r="F4" i="3"/>
  <c r="E174" i="3"/>
  <c r="L173" i="3"/>
  <c r="J173" i="3"/>
  <c r="I173" i="3"/>
  <c r="D191" i="3"/>
  <c r="I36" i="3"/>
  <c r="I269" i="3" s="1"/>
  <c r="N36" i="3"/>
  <c r="O36" i="3"/>
  <c r="H36" i="3"/>
  <c r="H269" i="3" s="1"/>
  <c r="D11" i="3"/>
  <c r="I10" i="3"/>
  <c r="H10" i="3"/>
  <c r="D23" i="3"/>
  <c r="G53" i="3" s="1"/>
  <c r="I22" i="3"/>
  <c r="I255" i="3" s="1"/>
  <c r="H22" i="3"/>
  <c r="H255" i="3" s="1"/>
  <c r="D39" i="3"/>
  <c r="O22" i="3"/>
  <c r="N22" i="3"/>
  <c r="D166" i="3"/>
  <c r="D170" i="3" s="1"/>
  <c r="I33" i="3"/>
  <c r="I266" i="3" s="1"/>
  <c r="O33" i="3"/>
  <c r="N33" i="3"/>
  <c r="H33" i="3"/>
  <c r="H266" i="3" s="1"/>
  <c r="D174" i="3"/>
  <c r="Q15" i="3"/>
  <c r="H3" i="3"/>
  <c r="H37" i="3"/>
  <c r="H270" i="3" s="1"/>
  <c r="N37" i="3"/>
  <c r="I37" i="3"/>
  <c r="I270" i="3" s="1"/>
  <c r="O37" i="3"/>
  <c r="G52" i="3"/>
  <c r="I34" i="3"/>
  <c r="I267" i="3" s="1"/>
  <c r="F53" i="3"/>
  <c r="I16" i="2"/>
  <c r="I249" i="2" s="1"/>
  <c r="H16" i="2"/>
  <c r="H249" i="2" s="1"/>
  <c r="O16" i="2"/>
  <c r="D33" i="2"/>
  <c r="E34" i="2"/>
  <c r="I17" i="2"/>
  <c r="I250" i="2" s="1"/>
  <c r="H17" i="2"/>
  <c r="H250" i="2" s="1"/>
  <c r="H38" i="2"/>
  <c r="H271" i="2" s="1"/>
  <c r="I38" i="2"/>
  <c r="I271" i="2" s="1"/>
  <c r="N38" i="2"/>
  <c r="O38" i="2"/>
  <c r="H46" i="2"/>
  <c r="H279" i="2" s="1"/>
  <c r="O46" i="2"/>
  <c r="N46" i="2"/>
  <c r="I46" i="2"/>
  <c r="I279" i="2" s="1"/>
  <c r="E35" i="2"/>
  <c r="I18" i="2"/>
  <c r="I251" i="2" s="1"/>
  <c r="H18" i="2"/>
  <c r="H251" i="2" s="1"/>
  <c r="F49" i="2"/>
  <c r="H34" i="2"/>
  <c r="H267" i="2" s="1"/>
  <c r="I34" i="2"/>
  <c r="I267" i="2" s="1"/>
  <c r="N34" i="2"/>
  <c r="I29" i="2"/>
  <c r="I262" i="2" s="1"/>
  <c r="H15" i="2"/>
  <c r="H248" i="2" s="1"/>
  <c r="O29" i="2"/>
  <c r="E36" i="2"/>
  <c r="I19" i="2"/>
  <c r="I252" i="2" s="1"/>
  <c r="H19" i="2"/>
  <c r="H252" i="2" s="1"/>
  <c r="H35" i="2"/>
  <c r="H268" i="2" s="1"/>
  <c r="I35" i="2"/>
  <c r="I268" i="2" s="1"/>
  <c r="N35" i="2"/>
  <c r="H36" i="2"/>
  <c r="H269" i="2" s="1"/>
  <c r="I36" i="2"/>
  <c r="I269" i="2" s="1"/>
  <c r="N36" i="2"/>
  <c r="O36" i="2"/>
  <c r="D173" i="2"/>
  <c r="D4" i="2"/>
  <c r="D166" i="2" s="1"/>
  <c r="D170" i="2" s="1"/>
  <c r="N16" i="2"/>
  <c r="O34" i="2"/>
  <c r="H37" i="2"/>
  <c r="H270" i="2" s="1"/>
  <c r="I37" i="2"/>
  <c r="I270" i="2" s="1"/>
  <c r="N37" i="2"/>
  <c r="O37" i="2"/>
  <c r="G49" i="2"/>
  <c r="O15" i="2"/>
  <c r="Q15" i="2" s="1"/>
  <c r="I21" i="2"/>
  <c r="I254" i="2" s="1"/>
  <c r="H29" i="2"/>
  <c r="H262" i="2" s="1"/>
  <c r="N19" i="2"/>
  <c r="D32" i="2"/>
  <c r="F52" i="2"/>
  <c r="O17" i="2"/>
  <c r="G52" i="2"/>
  <c r="N18" i="2"/>
  <c r="N20" i="2"/>
  <c r="D24" i="2"/>
  <c r="O19" i="2"/>
  <c r="O20" i="2"/>
  <c r="N21" i="2"/>
  <c r="N17" i="2"/>
  <c r="O18" i="2"/>
  <c r="D22" i="2"/>
  <c r="D10" i="2"/>
  <c r="D174" i="2"/>
  <c r="E6" i="1"/>
  <c r="L170" i="3" l="1"/>
  <c r="I170" i="3"/>
  <c r="F159" i="3"/>
  <c r="D172" i="3"/>
  <c r="L172" i="3" s="1"/>
  <c r="D171" i="3"/>
  <c r="L171" i="3" s="1"/>
  <c r="H58" i="3"/>
  <c r="N10" i="3"/>
  <c r="H243" i="3"/>
  <c r="I174" i="3"/>
  <c r="L174" i="3"/>
  <c r="I243" i="3"/>
  <c r="I58" i="3"/>
  <c r="O10" i="3"/>
  <c r="I39" i="3"/>
  <c r="I272" i="3" s="1"/>
  <c r="O39" i="3"/>
  <c r="N39" i="3"/>
  <c r="H39" i="3"/>
  <c r="H272" i="3" s="1"/>
  <c r="D12" i="3"/>
  <c r="H11" i="3"/>
  <c r="F60" i="3"/>
  <c r="D41" i="3"/>
  <c r="G54" i="3" s="1"/>
  <c r="O24" i="3"/>
  <c r="N24" i="3"/>
  <c r="D26" i="3"/>
  <c r="I24" i="3"/>
  <c r="I257" i="3" s="1"/>
  <c r="H24" i="3"/>
  <c r="H257" i="3" s="1"/>
  <c r="H23" i="3"/>
  <c r="H256" i="3" s="1"/>
  <c r="O23" i="3"/>
  <c r="N23" i="3"/>
  <c r="D25" i="3"/>
  <c r="I23" i="3"/>
  <c r="I256" i="3" s="1"/>
  <c r="D40" i="3"/>
  <c r="O38" i="3"/>
  <c r="N38" i="3"/>
  <c r="I38" i="3"/>
  <c r="I271" i="3" s="1"/>
  <c r="H38" i="3"/>
  <c r="H271" i="3" s="1"/>
  <c r="D172" i="2"/>
  <c r="J172" i="2" s="1"/>
  <c r="D171" i="2"/>
  <c r="J171" i="2" s="1"/>
  <c r="J170" i="2"/>
  <c r="F159" i="2"/>
  <c r="G170" i="2"/>
  <c r="J174" i="2"/>
  <c r="G174" i="2"/>
  <c r="H32" i="2"/>
  <c r="H265" i="2" s="1"/>
  <c r="O32" i="2"/>
  <c r="N32" i="2"/>
  <c r="I32" i="2"/>
  <c r="I265" i="2" s="1"/>
  <c r="D11" i="2"/>
  <c r="I10" i="2"/>
  <c r="H10" i="2"/>
  <c r="F50" i="2"/>
  <c r="O22" i="2"/>
  <c r="N22" i="2"/>
  <c r="D23" i="2"/>
  <c r="I22" i="2"/>
  <c r="I255" i="2" s="1"/>
  <c r="H22" i="2"/>
  <c r="H255" i="2" s="1"/>
  <c r="D39" i="2"/>
  <c r="J173" i="2"/>
  <c r="H173" i="2"/>
  <c r="G173" i="2"/>
  <c r="D191" i="2"/>
  <c r="E174" i="2"/>
  <c r="G50" i="2"/>
  <c r="G4" i="2"/>
  <c r="F4" i="2"/>
  <c r="D165" i="2"/>
  <c r="N24" i="2"/>
  <c r="D26" i="2"/>
  <c r="H24" i="2"/>
  <c r="H257" i="2" s="1"/>
  <c r="O24" i="2"/>
  <c r="I24" i="2"/>
  <c r="I257" i="2" s="1"/>
  <c r="D41" i="2"/>
  <c r="I33" i="2"/>
  <c r="I266" i="2" s="1"/>
  <c r="N33" i="2"/>
  <c r="H33" i="2"/>
  <c r="H266" i="2" s="1"/>
  <c r="O33" i="2"/>
  <c r="H3" i="2"/>
  <c r="F54" i="3" l="1"/>
  <c r="H244" i="3"/>
  <c r="W11" i="3"/>
  <c r="N11" i="3"/>
  <c r="I12" i="3"/>
  <c r="G60" i="3"/>
  <c r="I25" i="3"/>
  <c r="I258" i="3" s="1"/>
  <c r="H25" i="3"/>
  <c r="H258" i="3" s="1"/>
  <c r="O25" i="3"/>
  <c r="D42" i="3"/>
  <c r="N25" i="3"/>
  <c r="D27" i="3"/>
  <c r="O26" i="3"/>
  <c r="H26" i="3"/>
  <c r="H259" i="3" s="1"/>
  <c r="N26" i="3"/>
  <c r="I26" i="3"/>
  <c r="I259" i="3" s="1"/>
  <c r="D43" i="3"/>
  <c r="O41" i="3"/>
  <c r="N41" i="3"/>
  <c r="I41" i="3"/>
  <c r="I274" i="3" s="1"/>
  <c r="H41" i="3"/>
  <c r="H274" i="3" s="1"/>
  <c r="H40" i="3"/>
  <c r="H273" i="3" s="1"/>
  <c r="N40" i="3"/>
  <c r="O40" i="3"/>
  <c r="I40" i="3"/>
  <c r="I273" i="3" s="1"/>
  <c r="N23" i="2"/>
  <c r="D25" i="2"/>
  <c r="H23" i="2"/>
  <c r="H256" i="2" s="1"/>
  <c r="I23" i="2"/>
  <c r="I256" i="2" s="1"/>
  <c r="O23" i="2"/>
  <c r="D40" i="2"/>
  <c r="G53" i="2"/>
  <c r="D12" i="2"/>
  <c r="H11" i="2"/>
  <c r="F53" i="2"/>
  <c r="F60" i="2"/>
  <c r="N26" i="2"/>
  <c r="H26" i="2"/>
  <c r="H259" i="2" s="1"/>
  <c r="D43" i="2"/>
  <c r="O26" i="2"/>
  <c r="I26" i="2"/>
  <c r="I259" i="2" s="1"/>
  <c r="I243" i="2"/>
  <c r="I58" i="2"/>
  <c r="O10" i="2"/>
  <c r="H39" i="2"/>
  <c r="H272" i="2" s="1"/>
  <c r="I39" i="2"/>
  <c r="I272" i="2" s="1"/>
  <c r="N39" i="2"/>
  <c r="O39" i="2"/>
  <c r="F54" i="2"/>
  <c r="G54" i="2"/>
  <c r="H41" i="2"/>
  <c r="H274" i="2" s="1"/>
  <c r="I41" i="2"/>
  <c r="I274" i="2" s="1"/>
  <c r="N41" i="2"/>
  <c r="O41" i="2"/>
  <c r="H243" i="2"/>
  <c r="H58" i="2"/>
  <c r="N10" i="2"/>
  <c r="I5" i="1"/>
  <c r="H5" i="1"/>
  <c r="H43" i="3" l="1"/>
  <c r="H276" i="3" s="1"/>
  <c r="N43" i="3"/>
  <c r="O43" i="3"/>
  <c r="I43" i="3"/>
  <c r="I276" i="3" s="1"/>
  <c r="D44" i="3"/>
  <c r="N27" i="3"/>
  <c r="O27" i="3"/>
  <c r="I27" i="3"/>
  <c r="I260" i="3" s="1"/>
  <c r="H27" i="3"/>
  <c r="H260" i="3" s="1"/>
  <c r="D28" i="3"/>
  <c r="I42" i="3"/>
  <c r="I275" i="3" s="1"/>
  <c r="O42" i="3"/>
  <c r="N42" i="3"/>
  <c r="H42" i="3"/>
  <c r="H275" i="3" s="1"/>
  <c r="I245" i="3"/>
  <c r="O12" i="3"/>
  <c r="H244" i="2"/>
  <c r="N11" i="2"/>
  <c r="W11" i="2"/>
  <c r="H40" i="2"/>
  <c r="H273" i="2" s="1"/>
  <c r="I40" i="2"/>
  <c r="I273" i="2" s="1"/>
  <c r="N40" i="2"/>
  <c r="O40" i="2"/>
  <c r="H43" i="2"/>
  <c r="H276" i="2" s="1"/>
  <c r="I43" i="2"/>
  <c r="I276" i="2" s="1"/>
  <c r="N43" i="2"/>
  <c r="O43" i="2"/>
  <c r="I12" i="2"/>
  <c r="G60" i="2"/>
  <c r="N25" i="2"/>
  <c r="D27" i="2"/>
  <c r="H25" i="2"/>
  <c r="I25" i="2"/>
  <c r="I258" i="2" s="1"/>
  <c r="D42" i="2"/>
  <c r="O25" i="2"/>
  <c r="D50" i="1"/>
  <c r="D51" i="1" s="1"/>
  <c r="Q10" i="3" l="1"/>
  <c r="N28" i="3"/>
  <c r="D45" i="3"/>
  <c r="I28" i="3"/>
  <c r="D30" i="3"/>
  <c r="H28" i="3"/>
  <c r="O28" i="3"/>
  <c r="G55" i="3"/>
  <c r="O44" i="3"/>
  <c r="N44" i="3"/>
  <c r="I44" i="3"/>
  <c r="I277" i="3" s="1"/>
  <c r="H44" i="3"/>
  <c r="H277" i="3" s="1"/>
  <c r="H42" i="2"/>
  <c r="H275" i="2" s="1"/>
  <c r="I42" i="2"/>
  <c r="I275" i="2" s="1"/>
  <c r="N42" i="2"/>
  <c r="O42" i="2"/>
  <c r="H258" i="2"/>
  <c r="I245" i="2"/>
  <c r="O12" i="2"/>
  <c r="N27" i="2"/>
  <c r="D28" i="2"/>
  <c r="H27" i="2"/>
  <c r="H260" i="2" s="1"/>
  <c r="D44" i="2"/>
  <c r="O27" i="2"/>
  <c r="I27" i="2"/>
  <c r="I260" i="2" s="1"/>
  <c r="E5" i="1"/>
  <c r="E50" i="1" s="1"/>
  <c r="E51" i="1" s="1"/>
  <c r="O45" i="3" l="1"/>
  <c r="I45" i="3"/>
  <c r="I278" i="3" s="1"/>
  <c r="N45" i="3"/>
  <c r="H45" i="3"/>
  <c r="H278" i="3" s="1"/>
  <c r="Q48" i="3"/>
  <c r="R15" i="3" s="1"/>
  <c r="T16" i="3" s="1"/>
  <c r="R10" i="3"/>
  <c r="T11" i="3" s="1"/>
  <c r="H261" i="3"/>
  <c r="D47" i="3"/>
  <c r="N30" i="3"/>
  <c r="I30" i="3"/>
  <c r="I263" i="3" s="1"/>
  <c r="H30" i="3"/>
  <c r="H263" i="3" s="1"/>
  <c r="O30" i="3"/>
  <c r="Q19" i="3" s="1"/>
  <c r="F55" i="3"/>
  <c r="I261" i="3"/>
  <c r="H44" i="2"/>
  <c r="H277" i="2" s="1"/>
  <c r="I44" i="2"/>
  <c r="I277" i="2" s="1"/>
  <c r="N44" i="2"/>
  <c r="O44" i="2"/>
  <c r="N28" i="2"/>
  <c r="D30" i="2"/>
  <c r="H28" i="2"/>
  <c r="D45" i="2"/>
  <c r="O28" i="2"/>
  <c r="I28" i="2"/>
  <c r="I261" i="2" s="1"/>
  <c r="F55" i="2"/>
  <c r="Q10" i="2"/>
  <c r="R19" i="3" l="1"/>
  <c r="T20" i="3" s="1"/>
  <c r="T22" i="3" s="1"/>
  <c r="O47" i="3"/>
  <c r="O48" i="3" s="1"/>
  <c r="I47" i="3"/>
  <c r="H47" i="3"/>
  <c r="N47" i="3"/>
  <c r="N48" i="3" s="1"/>
  <c r="O49" i="3" s="1"/>
  <c r="G56" i="3"/>
  <c r="G59" i="3" s="1"/>
  <c r="G66" i="3" s="1"/>
  <c r="F56" i="3"/>
  <c r="F59" i="3" s="1"/>
  <c r="F66" i="3" s="1"/>
  <c r="H261" i="2"/>
  <c r="N30" i="2"/>
  <c r="H30" i="2"/>
  <c r="H263" i="2" s="1"/>
  <c r="D47" i="2"/>
  <c r="O30" i="2"/>
  <c r="I30" i="2"/>
  <c r="G55" i="2"/>
  <c r="H45" i="2"/>
  <c r="H278" i="2" s="1"/>
  <c r="I45" i="2"/>
  <c r="I278" i="2" s="1"/>
  <c r="N45" i="2"/>
  <c r="O45" i="2"/>
  <c r="G56" i="2"/>
  <c r="G59" i="2" s="1"/>
  <c r="G66" i="2" s="1"/>
  <c r="F56" i="2"/>
  <c r="F59" i="2" s="1"/>
  <c r="F66" i="2" s="1"/>
  <c r="D176" i="3" l="1"/>
  <c r="F176" i="3" s="1"/>
  <c r="G84" i="3"/>
  <c r="G78" i="3"/>
  <c r="G68" i="3"/>
  <c r="J66" i="3"/>
  <c r="K178" i="3" s="1"/>
  <c r="G113" i="3"/>
  <c r="G109" i="3"/>
  <c r="G105" i="3"/>
  <c r="G100" i="3"/>
  <c r="G96" i="3"/>
  <c r="G92" i="3"/>
  <c r="G83" i="3"/>
  <c r="G86" i="3"/>
  <c r="G85" i="3"/>
  <c r="G87" i="3"/>
  <c r="G110" i="3"/>
  <c r="G106" i="3"/>
  <c r="G102" i="3"/>
  <c r="G97" i="3"/>
  <c r="G93" i="3"/>
  <c r="G89" i="3"/>
  <c r="G73" i="3"/>
  <c r="U66" i="3"/>
  <c r="G74" i="3"/>
  <c r="G76" i="3"/>
  <c r="G111" i="3"/>
  <c r="G107" i="3"/>
  <c r="G103" i="3"/>
  <c r="G98" i="3"/>
  <c r="G94" i="3"/>
  <c r="G90" i="3"/>
  <c r="G77" i="3"/>
  <c r="G71" i="3"/>
  <c r="G80" i="3"/>
  <c r="G79" i="3"/>
  <c r="G99" i="3"/>
  <c r="G82" i="3"/>
  <c r="G67" i="3"/>
  <c r="G108" i="3"/>
  <c r="G72" i="3"/>
  <c r="G81" i="3"/>
  <c r="G95" i="3"/>
  <c r="G104" i="3"/>
  <c r="G91" i="3"/>
  <c r="G112" i="3"/>
  <c r="H178" i="3"/>
  <c r="H280" i="3"/>
  <c r="H48" i="3"/>
  <c r="D175" i="3"/>
  <c r="F175" i="3" s="1"/>
  <c r="F83" i="3"/>
  <c r="F77" i="3"/>
  <c r="F87" i="3"/>
  <c r="F81" i="3"/>
  <c r="F74" i="3"/>
  <c r="F82" i="3"/>
  <c r="F113" i="3"/>
  <c r="F109" i="3"/>
  <c r="F105" i="3"/>
  <c r="F100" i="3"/>
  <c r="F96" i="3"/>
  <c r="F92" i="3"/>
  <c r="F84" i="3"/>
  <c r="F86" i="3"/>
  <c r="F85" i="3"/>
  <c r="F110" i="3"/>
  <c r="F106" i="3"/>
  <c r="F102" i="3"/>
  <c r="F97" i="3"/>
  <c r="F93" i="3"/>
  <c r="F89" i="3"/>
  <c r="F72" i="3"/>
  <c r="F111" i="3"/>
  <c r="F107" i="3"/>
  <c r="F103" i="3"/>
  <c r="F98" i="3"/>
  <c r="F94" i="3"/>
  <c r="F90" i="3"/>
  <c r="F78" i="3"/>
  <c r="F71" i="3"/>
  <c r="F99" i="3"/>
  <c r="F67" i="3"/>
  <c r="F108" i="3"/>
  <c r="T66" i="3"/>
  <c r="F79" i="3"/>
  <c r="F68" i="3"/>
  <c r="F95" i="3"/>
  <c r="F80" i="3"/>
  <c r="F104" i="3"/>
  <c r="F76" i="3"/>
  <c r="F73" i="3"/>
  <c r="I66" i="3"/>
  <c r="J178" i="3" s="1"/>
  <c r="K71" i="3"/>
  <c r="F91" i="3"/>
  <c r="F112" i="3"/>
  <c r="G178" i="3"/>
  <c r="I280" i="3"/>
  <c r="I48" i="3"/>
  <c r="F112" i="2"/>
  <c r="F110" i="2"/>
  <c r="F108" i="2"/>
  <c r="F106" i="2"/>
  <c r="F104" i="2"/>
  <c r="D175" i="2"/>
  <c r="F175" i="2" s="1"/>
  <c r="F113" i="2"/>
  <c r="F111" i="2"/>
  <c r="F109" i="2"/>
  <c r="F107" i="2"/>
  <c r="F105" i="2"/>
  <c r="F100" i="2"/>
  <c r="F98" i="2"/>
  <c r="F96" i="2"/>
  <c r="F94" i="2"/>
  <c r="F92" i="2"/>
  <c r="F90" i="2"/>
  <c r="F86" i="2"/>
  <c r="F82" i="2"/>
  <c r="F78" i="2"/>
  <c r="F73" i="2"/>
  <c r="F103" i="2"/>
  <c r="K71" i="2"/>
  <c r="F68" i="2"/>
  <c r="T66" i="2"/>
  <c r="I66" i="2"/>
  <c r="J178" i="2" s="1"/>
  <c r="F87" i="2"/>
  <c r="F83" i="2"/>
  <c r="F79" i="2"/>
  <c r="F74" i="2"/>
  <c r="F71" i="2"/>
  <c r="F85" i="2"/>
  <c r="F81" i="2"/>
  <c r="F77" i="2"/>
  <c r="F72" i="2"/>
  <c r="F67" i="2"/>
  <c r="F102" i="2"/>
  <c r="F97" i="2"/>
  <c r="F93" i="2"/>
  <c r="F89" i="2"/>
  <c r="F99" i="2"/>
  <c r="F95" i="2"/>
  <c r="F91" i="2"/>
  <c r="F80" i="2"/>
  <c r="F84" i="2"/>
  <c r="F76" i="2"/>
  <c r="G178" i="2"/>
  <c r="H47" i="2"/>
  <c r="H280" i="2" s="1"/>
  <c r="O47" i="2"/>
  <c r="N47" i="2"/>
  <c r="I47" i="2"/>
  <c r="I280" i="2" s="1"/>
  <c r="N48" i="2"/>
  <c r="D176" i="2"/>
  <c r="F176" i="2" s="1"/>
  <c r="G112" i="2"/>
  <c r="G110" i="2"/>
  <c r="G108" i="2"/>
  <c r="G106" i="2"/>
  <c r="G104" i="2"/>
  <c r="G113" i="2"/>
  <c r="G111" i="2"/>
  <c r="G109" i="2"/>
  <c r="G107" i="2"/>
  <c r="G105" i="2"/>
  <c r="G100" i="2"/>
  <c r="G98" i="2"/>
  <c r="G96" i="2"/>
  <c r="G94" i="2"/>
  <c r="G92" i="2"/>
  <c r="G90" i="2"/>
  <c r="G86" i="2"/>
  <c r="G82" i="2"/>
  <c r="G78" i="2"/>
  <c r="G73" i="2"/>
  <c r="G103" i="2"/>
  <c r="G68" i="2"/>
  <c r="U66" i="2"/>
  <c r="J66" i="2"/>
  <c r="K178" i="2" s="1"/>
  <c r="G87" i="2"/>
  <c r="G83" i="2"/>
  <c r="G79" i="2"/>
  <c r="G74" i="2"/>
  <c r="G85" i="2"/>
  <c r="G81" i="2"/>
  <c r="G77" i="2"/>
  <c r="G72" i="2"/>
  <c r="G67" i="2"/>
  <c r="G99" i="2"/>
  <c r="G95" i="2"/>
  <c r="G91" i="2"/>
  <c r="G76" i="2"/>
  <c r="G71" i="2"/>
  <c r="G84" i="2"/>
  <c r="G102" i="2"/>
  <c r="G97" i="2"/>
  <c r="G93" i="2"/>
  <c r="G89" i="2"/>
  <c r="G80" i="2"/>
  <c r="H178" i="2"/>
  <c r="H48" i="2"/>
  <c r="Q19" i="2"/>
  <c r="O48" i="2"/>
  <c r="I263" i="2"/>
  <c r="I108" i="3" l="1"/>
  <c r="T108" i="3"/>
  <c r="I67" i="3"/>
  <c r="J179" i="3" s="1"/>
  <c r="T67" i="3"/>
  <c r="F69" i="3"/>
  <c r="G179" i="3"/>
  <c r="I89" i="3"/>
  <c r="T89" i="3"/>
  <c r="F134" i="3"/>
  <c r="I105" i="3"/>
  <c r="T105" i="3"/>
  <c r="U79" i="3"/>
  <c r="G124" i="3"/>
  <c r="J79" i="3"/>
  <c r="J74" i="3"/>
  <c r="U74" i="3"/>
  <c r="G119" i="3"/>
  <c r="J83" i="3"/>
  <c r="G128" i="3"/>
  <c r="U83" i="3"/>
  <c r="I93" i="3"/>
  <c r="F138" i="3"/>
  <c r="T93" i="3"/>
  <c r="U112" i="3"/>
  <c r="J112" i="3"/>
  <c r="J92" i="3"/>
  <c r="G137" i="3"/>
  <c r="U92" i="3"/>
  <c r="I73" i="3"/>
  <c r="T73" i="3"/>
  <c r="F118" i="3"/>
  <c r="G180" i="3"/>
  <c r="I97" i="3"/>
  <c r="F142" i="3"/>
  <c r="T97" i="3"/>
  <c r="I113" i="3"/>
  <c r="T113" i="3"/>
  <c r="G136" i="3"/>
  <c r="U91" i="3"/>
  <c r="J91" i="3"/>
  <c r="G118" i="3"/>
  <c r="J73" i="3"/>
  <c r="U73" i="3"/>
  <c r="H180" i="3"/>
  <c r="J96" i="3"/>
  <c r="U96" i="3"/>
  <c r="G141" i="3"/>
  <c r="F144" i="3"/>
  <c r="I99" i="3"/>
  <c r="T99" i="3"/>
  <c r="I109" i="3"/>
  <c r="T109" i="3"/>
  <c r="I76" i="3"/>
  <c r="T76" i="3"/>
  <c r="F121" i="3"/>
  <c r="G186" i="3"/>
  <c r="F116" i="3"/>
  <c r="I71" i="3"/>
  <c r="J182" i="3" s="1"/>
  <c r="T71" i="3"/>
  <c r="I102" i="3"/>
  <c r="T102" i="3"/>
  <c r="I82" i="3"/>
  <c r="T82" i="3"/>
  <c r="F127" i="3"/>
  <c r="G184" i="3"/>
  <c r="U104" i="3"/>
  <c r="J104" i="3"/>
  <c r="G116" i="3"/>
  <c r="J71" i="3"/>
  <c r="K182" i="3" s="1"/>
  <c r="U71" i="3"/>
  <c r="J89" i="3"/>
  <c r="G134" i="3"/>
  <c r="U89" i="3"/>
  <c r="G145" i="3"/>
  <c r="J100" i="3"/>
  <c r="U100" i="3"/>
  <c r="I104" i="3"/>
  <c r="T104" i="3"/>
  <c r="I106" i="3"/>
  <c r="T106" i="3"/>
  <c r="F119" i="3"/>
  <c r="I74" i="3"/>
  <c r="T74" i="3"/>
  <c r="G122" i="3"/>
  <c r="J77" i="3"/>
  <c r="U77" i="3"/>
  <c r="J93" i="3"/>
  <c r="U93" i="3"/>
  <c r="G138" i="3"/>
  <c r="J105" i="3"/>
  <c r="U105" i="3"/>
  <c r="G125" i="3"/>
  <c r="J80" i="3"/>
  <c r="U80" i="3"/>
  <c r="F123" i="3"/>
  <c r="T78" i="3"/>
  <c r="I78" i="3"/>
  <c r="I80" i="3"/>
  <c r="T80" i="3"/>
  <c r="F125" i="3"/>
  <c r="F135" i="3"/>
  <c r="I90" i="3"/>
  <c r="T90" i="3"/>
  <c r="I110" i="3"/>
  <c r="T110" i="3"/>
  <c r="T81" i="3"/>
  <c r="I81" i="3"/>
  <c r="F126" i="3"/>
  <c r="G140" i="3"/>
  <c r="U95" i="3"/>
  <c r="J95" i="3"/>
  <c r="G135" i="3"/>
  <c r="U90" i="3"/>
  <c r="J90" i="3"/>
  <c r="J97" i="3"/>
  <c r="U97" i="3"/>
  <c r="G142" i="3"/>
  <c r="J109" i="3"/>
  <c r="U109" i="3"/>
  <c r="I94" i="3"/>
  <c r="F139" i="3"/>
  <c r="T94" i="3"/>
  <c r="I85" i="3"/>
  <c r="F130" i="3"/>
  <c r="T85" i="3"/>
  <c r="F132" i="3"/>
  <c r="I87" i="3"/>
  <c r="T87" i="3"/>
  <c r="U81" i="3"/>
  <c r="J81" i="3"/>
  <c r="G126" i="3"/>
  <c r="U94" i="3"/>
  <c r="G139" i="3"/>
  <c r="J94" i="3"/>
  <c r="J102" i="3"/>
  <c r="U102" i="3"/>
  <c r="J113" i="3"/>
  <c r="U113" i="3"/>
  <c r="I95" i="3"/>
  <c r="F140" i="3"/>
  <c r="T95" i="3"/>
  <c r="I98" i="3"/>
  <c r="T98" i="3"/>
  <c r="F143" i="3"/>
  <c r="I86" i="3"/>
  <c r="F131" i="3"/>
  <c r="T86" i="3"/>
  <c r="J72" i="3"/>
  <c r="G117" i="3"/>
  <c r="U72" i="3"/>
  <c r="H182" i="3"/>
  <c r="U98" i="3"/>
  <c r="G143" i="3"/>
  <c r="J98" i="3"/>
  <c r="J106" i="3"/>
  <c r="U106" i="3"/>
  <c r="I281" i="3"/>
  <c r="I51" i="3"/>
  <c r="I53" i="3" s="1"/>
  <c r="I54" i="3" s="1"/>
  <c r="I55" i="3" s="1"/>
  <c r="I52" i="3"/>
  <c r="K10" i="3"/>
  <c r="T77" i="3"/>
  <c r="F122" i="3"/>
  <c r="I77" i="3"/>
  <c r="T68" i="3"/>
  <c r="I68" i="3"/>
  <c r="I103" i="3"/>
  <c r="T103" i="3"/>
  <c r="T84" i="3"/>
  <c r="I84" i="3"/>
  <c r="F129" i="3"/>
  <c r="F128" i="3"/>
  <c r="I83" i="3"/>
  <c r="T83" i="3"/>
  <c r="U108" i="3"/>
  <c r="J108" i="3"/>
  <c r="U103" i="3"/>
  <c r="J103" i="3"/>
  <c r="J110" i="3"/>
  <c r="U110" i="3"/>
  <c r="J68" i="3"/>
  <c r="U68" i="3"/>
  <c r="F124" i="3"/>
  <c r="I79" i="3"/>
  <c r="T79" i="3"/>
  <c r="I107" i="3"/>
  <c r="T107" i="3"/>
  <c r="I92" i="3"/>
  <c r="F137" i="3"/>
  <c r="T92" i="3"/>
  <c r="U67" i="3"/>
  <c r="J67" i="3"/>
  <c r="K179" i="3" s="1"/>
  <c r="G69" i="3"/>
  <c r="H179" i="3"/>
  <c r="U107" i="3"/>
  <c r="J107" i="3"/>
  <c r="J87" i="3"/>
  <c r="U87" i="3"/>
  <c r="G132" i="3"/>
  <c r="G123" i="3"/>
  <c r="U78" i="3"/>
  <c r="J78" i="3"/>
  <c r="I112" i="3"/>
  <c r="T112" i="3"/>
  <c r="I111" i="3"/>
  <c r="T111" i="3"/>
  <c r="I96" i="3"/>
  <c r="T96" i="3"/>
  <c r="F141" i="3"/>
  <c r="H281" i="3"/>
  <c r="H52" i="3"/>
  <c r="H51" i="3"/>
  <c r="H53" i="3" s="1"/>
  <c r="H54" i="3" s="1"/>
  <c r="H55" i="3" s="1"/>
  <c r="O53" i="3"/>
  <c r="Q53" i="3" s="1"/>
  <c r="J10" i="3"/>
  <c r="G127" i="3"/>
  <c r="U82" i="3"/>
  <c r="J82" i="3"/>
  <c r="H184" i="3"/>
  <c r="U111" i="3"/>
  <c r="J111" i="3"/>
  <c r="U85" i="3"/>
  <c r="J85" i="3"/>
  <c r="G130" i="3"/>
  <c r="J84" i="3"/>
  <c r="G129" i="3"/>
  <c r="U84" i="3"/>
  <c r="I91" i="3"/>
  <c r="F136" i="3"/>
  <c r="T91" i="3"/>
  <c r="I72" i="3"/>
  <c r="F117" i="3"/>
  <c r="T72" i="3"/>
  <c r="G182" i="3"/>
  <c r="I100" i="3"/>
  <c r="T100" i="3"/>
  <c r="F145" i="3"/>
  <c r="U99" i="3"/>
  <c r="G144" i="3"/>
  <c r="J99" i="3"/>
  <c r="G121" i="3"/>
  <c r="J76" i="3"/>
  <c r="U76" i="3"/>
  <c r="H186" i="3"/>
  <c r="G131" i="3"/>
  <c r="J86" i="3"/>
  <c r="U86" i="3"/>
  <c r="U108" i="2"/>
  <c r="J108" i="2"/>
  <c r="F118" i="2"/>
  <c r="T73" i="2"/>
  <c r="I73" i="2"/>
  <c r="G180" i="2"/>
  <c r="F126" i="2"/>
  <c r="I81" i="2"/>
  <c r="T81" i="2"/>
  <c r="G134" i="2"/>
  <c r="J89" i="2"/>
  <c r="U89" i="2"/>
  <c r="G140" i="2"/>
  <c r="J95" i="2"/>
  <c r="U95" i="2"/>
  <c r="G130" i="2"/>
  <c r="J85" i="2"/>
  <c r="U85" i="2"/>
  <c r="U103" i="2"/>
  <c r="J103" i="2"/>
  <c r="G141" i="2"/>
  <c r="U96" i="2"/>
  <c r="J96" i="2"/>
  <c r="U104" i="2"/>
  <c r="J104" i="2"/>
  <c r="F121" i="2"/>
  <c r="T76" i="2"/>
  <c r="I76" i="2"/>
  <c r="G186" i="2"/>
  <c r="F142" i="2"/>
  <c r="I97" i="2"/>
  <c r="T97" i="2"/>
  <c r="F116" i="2"/>
  <c r="T71" i="2"/>
  <c r="I71" i="2"/>
  <c r="F139" i="2"/>
  <c r="T94" i="2"/>
  <c r="I94" i="2"/>
  <c r="T111" i="2"/>
  <c r="I111" i="2"/>
  <c r="G145" i="2"/>
  <c r="U100" i="2"/>
  <c r="J100" i="2"/>
  <c r="F143" i="2"/>
  <c r="T98" i="2"/>
  <c r="I98" i="2"/>
  <c r="H281" i="2"/>
  <c r="H51" i="2"/>
  <c r="H53" i="2" s="1"/>
  <c r="H54" i="2" s="1"/>
  <c r="H55" i="2" s="1"/>
  <c r="H52" i="2"/>
  <c r="J10" i="2"/>
  <c r="G135" i="2"/>
  <c r="U90" i="2"/>
  <c r="J90" i="2"/>
  <c r="I48" i="2"/>
  <c r="G138" i="2"/>
  <c r="J93" i="2"/>
  <c r="U93" i="2"/>
  <c r="G144" i="2"/>
  <c r="J99" i="2"/>
  <c r="U99" i="2"/>
  <c r="G119" i="2"/>
  <c r="U74" i="2"/>
  <c r="J74" i="2"/>
  <c r="G118" i="2"/>
  <c r="U73" i="2"/>
  <c r="J73" i="2"/>
  <c r="K180" i="2" s="1"/>
  <c r="H180" i="2"/>
  <c r="G143" i="2"/>
  <c r="U98" i="2"/>
  <c r="J98" i="2"/>
  <c r="U106" i="2"/>
  <c r="J106" i="2"/>
  <c r="F129" i="2"/>
  <c r="T84" i="2"/>
  <c r="I84" i="2"/>
  <c r="T102" i="2"/>
  <c r="I102" i="2"/>
  <c r="F119" i="2"/>
  <c r="T74" i="2"/>
  <c r="I74" i="2"/>
  <c r="I103" i="2"/>
  <c r="T103" i="2"/>
  <c r="F141" i="2"/>
  <c r="T96" i="2"/>
  <c r="I96" i="2"/>
  <c r="I113" i="2"/>
  <c r="T113" i="2"/>
  <c r="G124" i="2"/>
  <c r="U79" i="2"/>
  <c r="J79" i="2"/>
  <c r="T67" i="2"/>
  <c r="F69" i="2"/>
  <c r="I67" i="2"/>
  <c r="J179" i="2" s="1"/>
  <c r="G179" i="2"/>
  <c r="F124" i="2"/>
  <c r="T79" i="2"/>
  <c r="I79" i="2"/>
  <c r="G127" i="2"/>
  <c r="U82" i="2"/>
  <c r="J82" i="2"/>
  <c r="H184" i="2"/>
  <c r="U105" i="2"/>
  <c r="J105" i="2"/>
  <c r="U110" i="2"/>
  <c r="J110" i="2"/>
  <c r="F136" i="2"/>
  <c r="I91" i="2"/>
  <c r="T91" i="2"/>
  <c r="F117" i="2"/>
  <c r="T72" i="2"/>
  <c r="I72" i="2"/>
  <c r="G182" i="2"/>
  <c r="F128" i="2"/>
  <c r="T83" i="2"/>
  <c r="I83" i="2"/>
  <c r="F123" i="2"/>
  <c r="T78" i="2"/>
  <c r="I78" i="2"/>
  <c r="F145" i="2"/>
  <c r="T100" i="2"/>
  <c r="I100" i="2"/>
  <c r="T104" i="2"/>
  <c r="I104" i="2"/>
  <c r="Q48" i="2"/>
  <c r="R19" i="2" s="1"/>
  <c r="T20" i="2" s="1"/>
  <c r="G129" i="2"/>
  <c r="U84" i="2"/>
  <c r="J84" i="2"/>
  <c r="G69" i="2"/>
  <c r="J67" i="2"/>
  <c r="K179" i="2" s="1"/>
  <c r="U67" i="2"/>
  <c r="H179" i="2"/>
  <c r="G132" i="2"/>
  <c r="U87" i="2"/>
  <c r="J87" i="2"/>
  <c r="G131" i="2"/>
  <c r="U86" i="2"/>
  <c r="J86" i="2"/>
  <c r="U107" i="2"/>
  <c r="J107" i="2"/>
  <c r="U112" i="2"/>
  <c r="J112" i="2"/>
  <c r="F140" i="2"/>
  <c r="I95" i="2"/>
  <c r="T95" i="2"/>
  <c r="F122" i="2"/>
  <c r="I77" i="2"/>
  <c r="T77" i="2"/>
  <c r="F132" i="2"/>
  <c r="T87" i="2"/>
  <c r="I87" i="2"/>
  <c r="F127" i="2"/>
  <c r="T82" i="2"/>
  <c r="I82" i="2"/>
  <c r="G184" i="2"/>
  <c r="T106" i="2"/>
  <c r="I106" i="2"/>
  <c r="F131" i="2"/>
  <c r="T86" i="2"/>
  <c r="I86" i="2"/>
  <c r="T105" i="2"/>
  <c r="I105" i="2"/>
  <c r="T108" i="2"/>
  <c r="I108" i="2"/>
  <c r="G123" i="2"/>
  <c r="U78" i="2"/>
  <c r="J78" i="2"/>
  <c r="G128" i="2"/>
  <c r="U83" i="2"/>
  <c r="J83" i="2"/>
  <c r="G117" i="2"/>
  <c r="U72" i="2"/>
  <c r="J72" i="2"/>
  <c r="H182" i="2"/>
  <c r="U109" i="2"/>
  <c r="J109" i="2"/>
  <c r="G122" i="2"/>
  <c r="U77" i="2"/>
  <c r="J77" i="2"/>
  <c r="G137" i="2"/>
  <c r="U92" i="2"/>
  <c r="J92" i="2"/>
  <c r="U111" i="2"/>
  <c r="J111" i="2"/>
  <c r="O49" i="2"/>
  <c r="F134" i="2"/>
  <c r="I89" i="2"/>
  <c r="T89" i="2"/>
  <c r="F130" i="2"/>
  <c r="I85" i="2"/>
  <c r="T85" i="2"/>
  <c r="F135" i="2"/>
  <c r="T90" i="2"/>
  <c r="I90" i="2"/>
  <c r="T107" i="2"/>
  <c r="I107" i="2"/>
  <c r="T110" i="2"/>
  <c r="I110" i="2"/>
  <c r="G142" i="2"/>
  <c r="J97" i="2"/>
  <c r="U97" i="2"/>
  <c r="F125" i="2"/>
  <c r="T80" i="2"/>
  <c r="I80" i="2"/>
  <c r="J102" i="2"/>
  <c r="U102" i="2"/>
  <c r="G116" i="2"/>
  <c r="U71" i="2"/>
  <c r="J71" i="2"/>
  <c r="K182" i="2" s="1"/>
  <c r="F144" i="2"/>
  <c r="I99" i="2"/>
  <c r="T99" i="2"/>
  <c r="G121" i="2"/>
  <c r="U76" i="2"/>
  <c r="J76" i="2"/>
  <c r="H186" i="2"/>
  <c r="G125" i="2"/>
  <c r="U80" i="2"/>
  <c r="J80" i="2"/>
  <c r="G136" i="2"/>
  <c r="J91" i="2"/>
  <c r="U91" i="2"/>
  <c r="G126" i="2"/>
  <c r="J81" i="2"/>
  <c r="U81" i="2"/>
  <c r="U68" i="2"/>
  <c r="J68" i="2"/>
  <c r="G139" i="2"/>
  <c r="U94" i="2"/>
  <c r="J94" i="2"/>
  <c r="J113" i="2"/>
  <c r="U113" i="2"/>
  <c r="F138" i="2"/>
  <c r="I93" i="2"/>
  <c r="T93" i="2"/>
  <c r="T68" i="2"/>
  <c r="I68" i="2"/>
  <c r="F137" i="2"/>
  <c r="T92" i="2"/>
  <c r="I92" i="2"/>
  <c r="T109" i="2"/>
  <c r="I109" i="2"/>
  <c r="I112" i="2"/>
  <c r="T112" i="2"/>
  <c r="J123" i="3" l="1"/>
  <c r="U123" i="3"/>
  <c r="U69" i="3"/>
  <c r="J69" i="3"/>
  <c r="T122" i="3"/>
  <c r="I122" i="3"/>
  <c r="F152" i="3"/>
  <c r="I139" i="3"/>
  <c r="I152" i="3" s="1"/>
  <c r="T139" i="3"/>
  <c r="K186" i="3"/>
  <c r="K184" i="3"/>
  <c r="I124" i="3"/>
  <c r="T124" i="3"/>
  <c r="F157" i="3"/>
  <c r="T144" i="3"/>
  <c r="I144" i="3"/>
  <c r="I157" i="3" s="1"/>
  <c r="J129" i="3"/>
  <c r="U129" i="3"/>
  <c r="J132" i="3"/>
  <c r="U132" i="3"/>
  <c r="I123" i="3"/>
  <c r="T123" i="3"/>
  <c r="U141" i="3"/>
  <c r="J141" i="3"/>
  <c r="J154" i="3" s="1"/>
  <c r="G154" i="3"/>
  <c r="G149" i="3"/>
  <c r="U136" i="3"/>
  <c r="J136" i="3"/>
  <c r="J149" i="3" s="1"/>
  <c r="F151" i="3"/>
  <c r="T138" i="3"/>
  <c r="I138" i="3"/>
  <c r="I151" i="3" s="1"/>
  <c r="U121" i="3"/>
  <c r="J121" i="3"/>
  <c r="K187" i="3" s="1"/>
  <c r="H187" i="3"/>
  <c r="G153" i="3"/>
  <c r="J140" i="3"/>
  <c r="J153" i="3" s="1"/>
  <c r="U140" i="3"/>
  <c r="J180" i="3"/>
  <c r="U127" i="3"/>
  <c r="J127" i="3"/>
  <c r="H185" i="3"/>
  <c r="H188" i="3" s="1"/>
  <c r="H189" i="3" s="1"/>
  <c r="F148" i="3"/>
  <c r="T135" i="3"/>
  <c r="I135" i="3"/>
  <c r="I148" i="3" s="1"/>
  <c r="I121" i="3"/>
  <c r="J187" i="3" s="1"/>
  <c r="T121" i="3"/>
  <c r="G187" i="3"/>
  <c r="T143" i="3"/>
  <c r="I143" i="3"/>
  <c r="I156" i="3" s="1"/>
  <c r="F156" i="3"/>
  <c r="I117" i="3"/>
  <c r="T117" i="3"/>
  <c r="J139" i="3"/>
  <c r="J152" i="3" s="1"/>
  <c r="G152" i="3"/>
  <c r="U139" i="3"/>
  <c r="J184" i="3"/>
  <c r="U117" i="3"/>
  <c r="J117" i="3"/>
  <c r="J142" i="3"/>
  <c r="J155" i="3" s="1"/>
  <c r="G155" i="3"/>
  <c r="U142" i="3"/>
  <c r="I126" i="3"/>
  <c r="T126" i="3"/>
  <c r="J125" i="3"/>
  <c r="U125" i="3"/>
  <c r="U124" i="3"/>
  <c r="J124" i="3"/>
  <c r="T132" i="3"/>
  <c r="I132" i="3"/>
  <c r="U144" i="3"/>
  <c r="J144" i="3"/>
  <c r="J157" i="3" s="1"/>
  <c r="G157" i="3"/>
  <c r="J130" i="3"/>
  <c r="U130" i="3"/>
  <c r="J28" i="3"/>
  <c r="L68" i="3"/>
  <c r="J15" i="3"/>
  <c r="J20" i="3"/>
  <c r="J29" i="3"/>
  <c r="J25" i="3"/>
  <c r="J17" i="3"/>
  <c r="J22" i="3"/>
  <c r="X10" i="3"/>
  <c r="V10" i="3" s="1"/>
  <c r="J27" i="3"/>
  <c r="J24" i="3"/>
  <c r="J19" i="3"/>
  <c r="J21" i="3"/>
  <c r="J16" i="3"/>
  <c r="J30" i="3"/>
  <c r="J26" i="3"/>
  <c r="J23" i="3"/>
  <c r="J18" i="3"/>
  <c r="J11" i="3"/>
  <c r="L10" i="3"/>
  <c r="L66" i="3"/>
  <c r="I137" i="3"/>
  <c r="I150" i="3" s="1"/>
  <c r="T137" i="3"/>
  <c r="F150" i="3"/>
  <c r="T125" i="3"/>
  <c r="I125" i="3"/>
  <c r="J116" i="3"/>
  <c r="K183" i="3" s="1"/>
  <c r="U116" i="3"/>
  <c r="H183" i="3"/>
  <c r="J186" i="3"/>
  <c r="U137" i="3"/>
  <c r="J137" i="3"/>
  <c r="J150" i="3" s="1"/>
  <c r="G150" i="3"/>
  <c r="I69" i="3"/>
  <c r="T69" i="3"/>
  <c r="L69" i="3"/>
  <c r="K30" i="3"/>
  <c r="K27" i="3"/>
  <c r="M68" i="3"/>
  <c r="K29" i="3"/>
  <c r="K25" i="3"/>
  <c r="K17" i="3"/>
  <c r="Y10" i="3"/>
  <c r="W10" i="3" s="1"/>
  <c r="K22" i="3"/>
  <c r="K28" i="3"/>
  <c r="K24" i="3"/>
  <c r="K19" i="3"/>
  <c r="K21" i="3"/>
  <c r="K16" i="3"/>
  <c r="K20" i="3"/>
  <c r="K26" i="3"/>
  <c r="K23" i="3"/>
  <c r="K18" i="3"/>
  <c r="K15" i="3"/>
  <c r="K12" i="3"/>
  <c r="M69" i="3" s="1"/>
  <c r="M10" i="3"/>
  <c r="M66" i="3"/>
  <c r="T140" i="3"/>
  <c r="I140" i="3"/>
  <c r="I153" i="3" s="1"/>
  <c r="F153" i="3"/>
  <c r="I130" i="3"/>
  <c r="T130" i="3"/>
  <c r="J122" i="3"/>
  <c r="U122" i="3"/>
  <c r="U128" i="3"/>
  <c r="J128" i="3"/>
  <c r="U126" i="3"/>
  <c r="J126" i="3"/>
  <c r="I136" i="3"/>
  <c r="I149" i="3" s="1"/>
  <c r="F149" i="3"/>
  <c r="T136" i="3"/>
  <c r="T128" i="3"/>
  <c r="I128" i="3"/>
  <c r="I131" i="3"/>
  <c r="T131" i="3"/>
  <c r="K180" i="3"/>
  <c r="F155" i="3"/>
  <c r="T142" i="3"/>
  <c r="I142" i="3"/>
  <c r="I155" i="3" s="1"/>
  <c r="F158" i="3"/>
  <c r="T145" i="3"/>
  <c r="I145" i="3"/>
  <c r="I158" i="3" s="1"/>
  <c r="G158" i="3"/>
  <c r="U145" i="3"/>
  <c r="J145" i="3"/>
  <c r="J158" i="3" s="1"/>
  <c r="J131" i="3"/>
  <c r="U131" i="3"/>
  <c r="J119" i="3"/>
  <c r="U119" i="3"/>
  <c r="I129" i="3"/>
  <c r="T129" i="3"/>
  <c r="J143" i="3"/>
  <c r="J156" i="3" s="1"/>
  <c r="G156" i="3"/>
  <c r="U143" i="3"/>
  <c r="J135" i="3"/>
  <c r="J148" i="3" s="1"/>
  <c r="G148" i="3"/>
  <c r="U135" i="3"/>
  <c r="J138" i="3"/>
  <c r="J151" i="3" s="1"/>
  <c r="G151" i="3"/>
  <c r="U138" i="3"/>
  <c r="I116" i="3"/>
  <c r="J183" i="3" s="1"/>
  <c r="T116" i="3"/>
  <c r="G183" i="3"/>
  <c r="U118" i="3"/>
  <c r="J118" i="3"/>
  <c r="H181" i="3"/>
  <c r="I141" i="3"/>
  <c r="I154" i="3" s="1"/>
  <c r="F154" i="3"/>
  <c r="T141" i="3"/>
  <c r="T119" i="3"/>
  <c r="I119" i="3"/>
  <c r="G147" i="3"/>
  <c r="U134" i="3"/>
  <c r="J134" i="3"/>
  <c r="J147" i="3" s="1"/>
  <c r="T127" i="3"/>
  <c r="I127" i="3"/>
  <c r="G185" i="3"/>
  <c r="T118" i="3"/>
  <c r="I118" i="3"/>
  <c r="G181" i="3"/>
  <c r="I134" i="3"/>
  <c r="I147" i="3" s="1"/>
  <c r="F147" i="3"/>
  <c r="T134" i="3"/>
  <c r="T122" i="2"/>
  <c r="I122" i="2"/>
  <c r="F151" i="2"/>
  <c r="I138" i="2"/>
  <c r="I151" i="2" s="1"/>
  <c r="T138" i="2"/>
  <c r="J139" i="2"/>
  <c r="J152" i="2" s="1"/>
  <c r="U139" i="2"/>
  <c r="G152" i="2"/>
  <c r="U126" i="2"/>
  <c r="J126" i="2"/>
  <c r="U116" i="2"/>
  <c r="J116" i="2"/>
  <c r="H183" i="2"/>
  <c r="T125" i="2"/>
  <c r="I125" i="2"/>
  <c r="U123" i="2"/>
  <c r="J123" i="2"/>
  <c r="U119" i="2"/>
  <c r="J119" i="2"/>
  <c r="G151" i="2"/>
  <c r="J138" i="2"/>
  <c r="J151" i="2" s="1"/>
  <c r="U138" i="2"/>
  <c r="T121" i="2"/>
  <c r="I121" i="2"/>
  <c r="G187" i="2"/>
  <c r="J180" i="2"/>
  <c r="U124" i="2"/>
  <c r="J124" i="2"/>
  <c r="U130" i="2"/>
  <c r="J130" i="2"/>
  <c r="I137" i="2"/>
  <c r="I150" i="2" s="1"/>
  <c r="T137" i="2"/>
  <c r="F150" i="2"/>
  <c r="U125" i="2"/>
  <c r="J125" i="2"/>
  <c r="T128" i="2"/>
  <c r="I128" i="2"/>
  <c r="I281" i="2"/>
  <c r="I51" i="2"/>
  <c r="I53" i="2" s="1"/>
  <c r="I54" i="2" s="1"/>
  <c r="I55" i="2" s="1"/>
  <c r="I52" i="2"/>
  <c r="K10" i="2"/>
  <c r="O53" i="2"/>
  <c r="Q53" i="2" s="1"/>
  <c r="F152" i="2"/>
  <c r="I139" i="2"/>
  <c r="I152" i="2" s="1"/>
  <c r="T139" i="2"/>
  <c r="U137" i="2"/>
  <c r="G150" i="2"/>
  <c r="J137" i="2"/>
  <c r="J150" i="2" s="1"/>
  <c r="T117" i="2"/>
  <c r="I117" i="2"/>
  <c r="J134" i="2"/>
  <c r="J147" i="2" s="1"/>
  <c r="U134" i="2"/>
  <c r="G147" i="2"/>
  <c r="J184" i="2"/>
  <c r="T132" i="2"/>
  <c r="I132" i="2"/>
  <c r="U145" i="2"/>
  <c r="G158" i="2"/>
  <c r="J145" i="2"/>
  <c r="J158" i="2" s="1"/>
  <c r="J182" i="2"/>
  <c r="I142" i="2"/>
  <c r="I155" i="2" s="1"/>
  <c r="T142" i="2"/>
  <c r="F155" i="2"/>
  <c r="U121" i="2"/>
  <c r="J121" i="2"/>
  <c r="H187" i="2"/>
  <c r="I134" i="2"/>
  <c r="I147" i="2" s="1"/>
  <c r="T134" i="2"/>
  <c r="F147" i="2"/>
  <c r="I145" i="2"/>
  <c r="I158" i="2" s="1"/>
  <c r="T145" i="2"/>
  <c r="F158" i="2"/>
  <c r="T69" i="2"/>
  <c r="I69" i="2"/>
  <c r="F157" i="2"/>
  <c r="I144" i="2"/>
  <c r="I157" i="2" s="1"/>
  <c r="T144" i="2"/>
  <c r="T130" i="2"/>
  <c r="I130" i="2"/>
  <c r="U128" i="2"/>
  <c r="J128" i="2"/>
  <c r="T131" i="2"/>
  <c r="I131" i="2"/>
  <c r="T140" i="2"/>
  <c r="F153" i="2"/>
  <c r="I140" i="2"/>
  <c r="I153" i="2" s="1"/>
  <c r="U132" i="2"/>
  <c r="J132" i="2"/>
  <c r="F149" i="2"/>
  <c r="I136" i="2"/>
  <c r="I149" i="2" s="1"/>
  <c r="T136" i="2"/>
  <c r="U118" i="2"/>
  <c r="J118" i="2"/>
  <c r="K181" i="2" s="1"/>
  <c r="H181" i="2"/>
  <c r="U140" i="2"/>
  <c r="G153" i="2"/>
  <c r="J140" i="2"/>
  <c r="J153" i="2" s="1"/>
  <c r="T118" i="2"/>
  <c r="I118" i="2"/>
  <c r="G181" i="2"/>
  <c r="R15" i="2"/>
  <c r="T16" i="2" s="1"/>
  <c r="R10" i="2"/>
  <c r="T11" i="2" s="1"/>
  <c r="T22" i="2" s="1"/>
  <c r="G149" i="2"/>
  <c r="J136" i="2"/>
  <c r="J149" i="2" s="1"/>
  <c r="U136" i="2"/>
  <c r="K186" i="2"/>
  <c r="J142" i="2"/>
  <c r="J155" i="2" s="1"/>
  <c r="U142" i="2"/>
  <c r="G155" i="2"/>
  <c r="U122" i="2"/>
  <c r="J122" i="2"/>
  <c r="T123" i="2"/>
  <c r="I123" i="2"/>
  <c r="K184" i="2"/>
  <c r="T124" i="2"/>
  <c r="I124" i="2"/>
  <c r="G157" i="2"/>
  <c r="J144" i="2"/>
  <c r="J157" i="2" s="1"/>
  <c r="U144" i="2"/>
  <c r="T126" i="2"/>
  <c r="I126" i="2"/>
  <c r="U69" i="2"/>
  <c r="J69" i="2"/>
  <c r="U127" i="2"/>
  <c r="J127" i="2"/>
  <c r="H185" i="2"/>
  <c r="T127" i="2"/>
  <c r="I127" i="2"/>
  <c r="G185" i="2"/>
  <c r="G156" i="2"/>
  <c r="J143" i="2"/>
  <c r="J156" i="2" s="1"/>
  <c r="U143" i="2"/>
  <c r="G148" i="2"/>
  <c r="J135" i="2"/>
  <c r="J148" i="2" s="1"/>
  <c r="U135" i="2"/>
  <c r="J186" i="2"/>
  <c r="G154" i="2"/>
  <c r="J141" i="2"/>
  <c r="J154" i="2" s="1"/>
  <c r="U141" i="2"/>
  <c r="T135" i="2"/>
  <c r="F148" i="2"/>
  <c r="I135" i="2"/>
  <c r="I148" i="2" s="1"/>
  <c r="U117" i="2"/>
  <c r="J117" i="2"/>
  <c r="U131" i="2"/>
  <c r="J131" i="2"/>
  <c r="U129" i="2"/>
  <c r="J129" i="2"/>
  <c r="F154" i="2"/>
  <c r="I141" i="2"/>
  <c r="I154" i="2" s="1"/>
  <c r="T141" i="2"/>
  <c r="T119" i="2"/>
  <c r="I119" i="2"/>
  <c r="T129" i="2"/>
  <c r="I129" i="2"/>
  <c r="L68" i="2"/>
  <c r="J19" i="2"/>
  <c r="J18" i="2"/>
  <c r="J17" i="2"/>
  <c r="J16" i="2"/>
  <c r="X10" i="2"/>
  <c r="V10" i="2" s="1"/>
  <c r="J15" i="2"/>
  <c r="J30" i="2"/>
  <c r="J29" i="2"/>
  <c r="J28" i="2"/>
  <c r="J27" i="2"/>
  <c r="J26" i="2"/>
  <c r="J25" i="2"/>
  <c r="J24" i="2"/>
  <c r="J23" i="2"/>
  <c r="J20" i="2"/>
  <c r="J11" i="2"/>
  <c r="J21" i="2"/>
  <c r="J22" i="2"/>
  <c r="L10" i="2"/>
  <c r="L66" i="2"/>
  <c r="T143" i="2"/>
  <c r="F156" i="2"/>
  <c r="I143" i="2"/>
  <c r="I156" i="2" s="1"/>
  <c r="T116" i="2"/>
  <c r="I116" i="2"/>
  <c r="J183" i="2" s="1"/>
  <c r="G183" i="2"/>
  <c r="Y25" i="3" l="1"/>
  <c r="W25" i="3" s="1"/>
  <c r="M25" i="3"/>
  <c r="M76" i="3"/>
  <c r="X19" i="3"/>
  <c r="V19" i="3" s="1"/>
  <c r="L19" i="3"/>
  <c r="L82" i="3"/>
  <c r="T157" i="3"/>
  <c r="T147" i="3"/>
  <c r="U155" i="3"/>
  <c r="U154" i="3"/>
  <c r="Y18" i="3"/>
  <c r="W18" i="3" s="1"/>
  <c r="M18" i="3"/>
  <c r="M72" i="3"/>
  <c r="U148" i="3"/>
  <c r="T151" i="3"/>
  <c r="U151" i="3"/>
  <c r="Y23" i="3"/>
  <c r="W23" i="3" s="1"/>
  <c r="M23" i="3"/>
  <c r="M86" i="3"/>
  <c r="Y29" i="3"/>
  <c r="W29" i="3" s="1"/>
  <c r="M29" i="3"/>
  <c r="M80" i="3"/>
  <c r="X24" i="3"/>
  <c r="V24" i="3" s="1"/>
  <c r="L24" i="3"/>
  <c r="L87" i="3"/>
  <c r="K181" i="3"/>
  <c r="U158" i="3"/>
  <c r="Y26" i="3"/>
  <c r="W26" i="3" s="1"/>
  <c r="M26" i="3"/>
  <c r="M77" i="3"/>
  <c r="X27" i="3"/>
  <c r="V27" i="3" s="1"/>
  <c r="L27" i="3"/>
  <c r="L78" i="3"/>
  <c r="U153" i="3"/>
  <c r="G188" i="3"/>
  <c r="G189" i="3" s="1"/>
  <c r="Y20" i="3"/>
  <c r="W20" i="3" s="1"/>
  <c r="M20" i="3"/>
  <c r="M83" i="3"/>
  <c r="Y27" i="3"/>
  <c r="W27" i="3" s="1"/>
  <c r="M27" i="3"/>
  <c r="M78" i="3"/>
  <c r="J181" i="3"/>
  <c r="U147" i="3"/>
  <c r="T153" i="3"/>
  <c r="Y16" i="3"/>
  <c r="W16" i="3" s="1"/>
  <c r="M16" i="3"/>
  <c r="M74" i="3"/>
  <c r="Y30" i="3"/>
  <c r="W30" i="3" s="1"/>
  <c r="M30" i="3"/>
  <c r="M81" i="3"/>
  <c r="X22" i="3"/>
  <c r="V22" i="3" s="1"/>
  <c r="L22" i="3"/>
  <c r="L85" i="3"/>
  <c r="U157" i="3"/>
  <c r="U149" i="3"/>
  <c r="J47" i="3"/>
  <c r="J44" i="3"/>
  <c r="J41" i="3"/>
  <c r="J38" i="3"/>
  <c r="J35" i="3"/>
  <c r="X11" i="3"/>
  <c r="V11" i="3" s="1"/>
  <c r="J37" i="3"/>
  <c r="J36" i="3"/>
  <c r="J39" i="3"/>
  <c r="J34" i="3"/>
  <c r="J33" i="3"/>
  <c r="J40" i="3"/>
  <c r="J32" i="3"/>
  <c r="J42" i="3"/>
  <c r="J46" i="3"/>
  <c r="J43" i="3"/>
  <c r="J45" i="3"/>
  <c r="L11" i="3"/>
  <c r="L67" i="3"/>
  <c r="Y21" i="3"/>
  <c r="W21" i="3" s="1"/>
  <c r="M21" i="3"/>
  <c r="M84" i="3"/>
  <c r="T156" i="3"/>
  <c r="T158" i="3"/>
  <c r="Y19" i="3"/>
  <c r="W19" i="3" s="1"/>
  <c r="M19" i="3"/>
  <c r="M82" i="3"/>
  <c r="X18" i="3"/>
  <c r="V18" i="3" s="1"/>
  <c r="L18" i="3"/>
  <c r="L72" i="3"/>
  <c r="X25" i="3"/>
  <c r="V25" i="3" s="1"/>
  <c r="L25" i="3"/>
  <c r="L76" i="3"/>
  <c r="Y24" i="3"/>
  <c r="W24" i="3" s="1"/>
  <c r="M24" i="3"/>
  <c r="M87" i="3"/>
  <c r="X23" i="3"/>
  <c r="V23" i="3" s="1"/>
  <c r="L23" i="3"/>
  <c r="L86" i="3"/>
  <c r="X29" i="3"/>
  <c r="V29" i="3" s="1"/>
  <c r="L29" i="3"/>
  <c r="L80" i="3"/>
  <c r="K185" i="3"/>
  <c r="K188" i="3" s="1"/>
  <c r="K189" i="3" s="1"/>
  <c r="Y28" i="3"/>
  <c r="W28" i="3" s="1"/>
  <c r="M28" i="3"/>
  <c r="M79" i="3"/>
  <c r="X26" i="3"/>
  <c r="V26" i="3" s="1"/>
  <c r="L26" i="3"/>
  <c r="L77" i="3"/>
  <c r="X20" i="3"/>
  <c r="V20" i="3" s="1"/>
  <c r="L20" i="3"/>
  <c r="L83" i="3"/>
  <c r="X17" i="3"/>
  <c r="V17" i="3" s="1"/>
  <c r="L17" i="3"/>
  <c r="L71" i="3"/>
  <c r="T148" i="3"/>
  <c r="J185" i="3"/>
  <c r="U156" i="3"/>
  <c r="T149" i="3"/>
  <c r="Y22" i="3"/>
  <c r="W22" i="3" s="1"/>
  <c r="M22" i="3"/>
  <c r="M85" i="3"/>
  <c r="U150" i="3"/>
  <c r="X30" i="3"/>
  <c r="V30" i="3" s="1"/>
  <c r="L30" i="3"/>
  <c r="L81" i="3"/>
  <c r="X15" i="3"/>
  <c r="V15" i="3" s="1"/>
  <c r="L15" i="3"/>
  <c r="L73" i="3"/>
  <c r="T152" i="3"/>
  <c r="T155" i="3"/>
  <c r="K46" i="3"/>
  <c r="K45" i="3"/>
  <c r="K42" i="3"/>
  <c r="K39" i="3"/>
  <c r="K47" i="3"/>
  <c r="K37" i="3"/>
  <c r="K36" i="3"/>
  <c r="Y12" i="3"/>
  <c r="W12" i="3" s="1"/>
  <c r="K38" i="3"/>
  <c r="K35" i="3"/>
  <c r="K34" i="3"/>
  <c r="K33" i="3"/>
  <c r="K40" i="3"/>
  <c r="K32" i="3"/>
  <c r="K41" i="3"/>
  <c r="K43" i="3"/>
  <c r="K44" i="3"/>
  <c r="M12" i="3"/>
  <c r="M67" i="3"/>
  <c r="L16" i="3"/>
  <c r="X16" i="3"/>
  <c r="V16" i="3" s="1"/>
  <c r="L74" i="3"/>
  <c r="T154" i="3"/>
  <c r="Y15" i="3"/>
  <c r="W15" i="3" s="1"/>
  <c r="M15" i="3"/>
  <c r="M73" i="3"/>
  <c r="Y17" i="3"/>
  <c r="W17" i="3" s="1"/>
  <c r="M17" i="3"/>
  <c r="M71" i="3"/>
  <c r="T150" i="3"/>
  <c r="X21" i="3"/>
  <c r="V21" i="3" s="1"/>
  <c r="L21" i="3"/>
  <c r="L84" i="3"/>
  <c r="X28" i="3"/>
  <c r="V28" i="3" s="1"/>
  <c r="L28" i="3"/>
  <c r="L79" i="3"/>
  <c r="U152" i="3"/>
  <c r="J188" i="3"/>
  <c r="J189" i="3" s="1"/>
  <c r="X22" i="2"/>
  <c r="V22" i="2" s="1"/>
  <c r="L22" i="2"/>
  <c r="L85" i="2"/>
  <c r="X27" i="2"/>
  <c r="V27" i="2" s="1"/>
  <c r="L27" i="2"/>
  <c r="L78" i="2"/>
  <c r="X18" i="2"/>
  <c r="V18" i="2" s="1"/>
  <c r="L18" i="2"/>
  <c r="L72" i="2"/>
  <c r="U155" i="2"/>
  <c r="X28" i="2"/>
  <c r="V28" i="2" s="1"/>
  <c r="L28" i="2"/>
  <c r="L79" i="2"/>
  <c r="U157" i="2"/>
  <c r="U153" i="2"/>
  <c r="T158" i="2"/>
  <c r="K187" i="2"/>
  <c r="T150" i="2"/>
  <c r="X29" i="2"/>
  <c r="V29" i="2" s="1"/>
  <c r="L29" i="2"/>
  <c r="L80" i="2"/>
  <c r="U154" i="2"/>
  <c r="K185" i="2"/>
  <c r="G188" i="2"/>
  <c r="G189" i="2" s="1"/>
  <c r="T153" i="2"/>
  <c r="T152" i="2"/>
  <c r="T151" i="2"/>
  <c r="X20" i="2"/>
  <c r="V20" i="2" s="1"/>
  <c r="L20" i="2"/>
  <c r="L83" i="2"/>
  <c r="U156" i="2"/>
  <c r="J181" i="2"/>
  <c r="H188" i="2"/>
  <c r="H189" i="2" s="1"/>
  <c r="T149" i="2"/>
  <c r="T157" i="2"/>
  <c r="X21" i="2"/>
  <c r="V21" i="2" s="1"/>
  <c r="L21" i="2"/>
  <c r="L84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X11" i="2"/>
  <c r="V11" i="2" s="1"/>
  <c r="L11" i="2"/>
  <c r="L67" i="2"/>
  <c r="T156" i="2"/>
  <c r="X15" i="2"/>
  <c r="V15" i="2" s="1"/>
  <c r="L15" i="2"/>
  <c r="L73" i="2"/>
  <c r="U158" i="2"/>
  <c r="U147" i="2"/>
  <c r="K16" i="2"/>
  <c r="K12" i="2"/>
  <c r="Y10" i="2"/>
  <c r="W10" i="2" s="1"/>
  <c r="K15" i="2"/>
  <c r="K29" i="2"/>
  <c r="K28" i="2"/>
  <c r="K30" i="2"/>
  <c r="K27" i="2"/>
  <c r="K26" i="2"/>
  <c r="K25" i="2"/>
  <c r="K24" i="2"/>
  <c r="K23" i="2"/>
  <c r="K22" i="2"/>
  <c r="K21" i="2"/>
  <c r="M68" i="2"/>
  <c r="K17" i="2"/>
  <c r="K18" i="2"/>
  <c r="K20" i="2"/>
  <c r="K19" i="2"/>
  <c r="M10" i="2"/>
  <c r="M66" i="2"/>
  <c r="U152" i="2"/>
  <c r="T148" i="2"/>
  <c r="J185" i="2"/>
  <c r="T147" i="2"/>
  <c r="U150" i="2"/>
  <c r="U151" i="2"/>
  <c r="K183" i="2"/>
  <c r="X19" i="2"/>
  <c r="V19" i="2" s="1"/>
  <c r="L19" i="2"/>
  <c r="L82" i="2"/>
  <c r="X30" i="2"/>
  <c r="V30" i="2" s="1"/>
  <c r="L30" i="2"/>
  <c r="L81" i="2"/>
  <c r="X24" i="2"/>
  <c r="V24" i="2" s="1"/>
  <c r="L24" i="2"/>
  <c r="L87" i="2"/>
  <c r="X25" i="2"/>
  <c r="V25" i="2" s="1"/>
  <c r="L25" i="2"/>
  <c r="L76" i="2"/>
  <c r="X16" i="2"/>
  <c r="V16" i="2" s="1"/>
  <c r="L16" i="2"/>
  <c r="L74" i="2"/>
  <c r="T154" i="2"/>
  <c r="T155" i="2"/>
  <c r="J187" i="2"/>
  <c r="J188" i="2" s="1"/>
  <c r="J189" i="2" s="1"/>
  <c r="X23" i="2"/>
  <c r="V23" i="2" s="1"/>
  <c r="L23" i="2"/>
  <c r="L86" i="2"/>
  <c r="X26" i="2"/>
  <c r="V26" i="2" s="1"/>
  <c r="L26" i="2"/>
  <c r="L77" i="2"/>
  <c r="X17" i="2"/>
  <c r="V17" i="2" s="1"/>
  <c r="L17" i="2"/>
  <c r="L71" i="2"/>
  <c r="U148" i="2"/>
  <c r="U149" i="2"/>
  <c r="L69" i="2"/>
  <c r="X42" i="3" l="1"/>
  <c r="V42" i="3" s="1"/>
  <c r="L42" i="3"/>
  <c r="L121" i="3"/>
  <c r="X44" i="3"/>
  <c r="V44" i="3" s="1"/>
  <c r="L44" i="3"/>
  <c r="L123" i="3"/>
  <c r="Y44" i="3"/>
  <c r="W44" i="3" s="1"/>
  <c r="M44" i="3"/>
  <c r="M123" i="3"/>
  <c r="Y47" i="3"/>
  <c r="W47" i="3" s="1"/>
  <c r="M47" i="3"/>
  <c r="M126" i="3"/>
  <c r="L32" i="3"/>
  <c r="L48" i="3" s="1"/>
  <c r="X32" i="3"/>
  <c r="V32" i="3" s="1"/>
  <c r="V48" i="3" s="1"/>
  <c r="W49" i="3" s="1"/>
  <c r="W50" i="3" s="1"/>
  <c r="L118" i="3"/>
  <c r="X47" i="3"/>
  <c r="V47" i="3" s="1"/>
  <c r="L47" i="3"/>
  <c r="L126" i="3"/>
  <c r="X46" i="3"/>
  <c r="V46" i="3" s="1"/>
  <c r="L46" i="3"/>
  <c r="L125" i="3"/>
  <c r="X41" i="3"/>
  <c r="V41" i="3" s="1"/>
  <c r="L41" i="3"/>
  <c r="L132" i="3"/>
  <c r="Y37" i="3"/>
  <c r="W37" i="3" s="1"/>
  <c r="M37" i="3"/>
  <c r="M128" i="3"/>
  <c r="Y43" i="3"/>
  <c r="W43" i="3" s="1"/>
  <c r="M43" i="3"/>
  <c r="M122" i="3"/>
  <c r="Y39" i="3"/>
  <c r="W39" i="3" s="1"/>
  <c r="M39" i="3"/>
  <c r="M130" i="3"/>
  <c r="X40" i="3"/>
  <c r="V40" i="3" s="1"/>
  <c r="L40" i="3"/>
  <c r="L131" i="3"/>
  <c r="Y41" i="3"/>
  <c r="W41" i="3" s="1"/>
  <c r="M41" i="3"/>
  <c r="M132" i="3"/>
  <c r="Y42" i="3"/>
  <c r="W42" i="3" s="1"/>
  <c r="M42" i="3"/>
  <c r="M121" i="3"/>
  <c r="X33" i="3"/>
  <c r="V33" i="3" s="1"/>
  <c r="L33" i="3"/>
  <c r="L119" i="3"/>
  <c r="Y40" i="3"/>
  <c r="W40" i="3" s="1"/>
  <c r="M40" i="3"/>
  <c r="M131" i="3"/>
  <c r="Y33" i="3"/>
  <c r="W33" i="3" s="1"/>
  <c r="M33" i="3"/>
  <c r="M119" i="3"/>
  <c r="X36" i="3"/>
  <c r="V36" i="3" s="1"/>
  <c r="L36" i="3"/>
  <c r="L127" i="3"/>
  <c r="Y45" i="3"/>
  <c r="W45" i="3" s="1"/>
  <c r="M45" i="3"/>
  <c r="M124" i="3"/>
  <c r="X37" i="3"/>
  <c r="V37" i="3" s="1"/>
  <c r="L37" i="3"/>
  <c r="L128" i="3"/>
  <c r="Y35" i="3"/>
  <c r="W35" i="3" s="1"/>
  <c r="M35" i="3"/>
  <c r="M117" i="3"/>
  <c r="Y36" i="3"/>
  <c r="W36" i="3" s="1"/>
  <c r="M36" i="3"/>
  <c r="M127" i="3"/>
  <c r="Y32" i="3"/>
  <c r="W32" i="3" s="1"/>
  <c r="M32" i="3"/>
  <c r="M118" i="3"/>
  <c r="L34" i="3"/>
  <c r="X34" i="3"/>
  <c r="V34" i="3" s="1"/>
  <c r="L116" i="3"/>
  <c r="Y46" i="3"/>
  <c r="W46" i="3" s="1"/>
  <c r="M46" i="3"/>
  <c r="M125" i="3"/>
  <c r="Y38" i="3"/>
  <c r="W38" i="3" s="1"/>
  <c r="W48" i="3" s="1"/>
  <c r="M38" i="3"/>
  <c r="M129" i="3"/>
  <c r="X45" i="3"/>
  <c r="V45" i="3" s="1"/>
  <c r="L45" i="3"/>
  <c r="L124" i="3"/>
  <c r="X35" i="3"/>
  <c r="V35" i="3" s="1"/>
  <c r="L35" i="3"/>
  <c r="L117" i="3"/>
  <c r="X39" i="3"/>
  <c r="V39" i="3" s="1"/>
  <c r="L39" i="3"/>
  <c r="L130" i="3"/>
  <c r="M34" i="3"/>
  <c r="M48" i="3" s="1"/>
  <c r="Y34" i="3"/>
  <c r="W34" i="3" s="1"/>
  <c r="M116" i="3"/>
  <c r="X43" i="3"/>
  <c r="V43" i="3" s="1"/>
  <c r="L43" i="3"/>
  <c r="L122" i="3"/>
  <c r="X38" i="3"/>
  <c r="V38" i="3" s="1"/>
  <c r="L38" i="3"/>
  <c r="L129" i="3"/>
  <c r="K188" i="2"/>
  <c r="K189" i="2" s="1"/>
  <c r="X35" i="2"/>
  <c r="V35" i="2" s="1"/>
  <c r="L35" i="2"/>
  <c r="L117" i="2"/>
  <c r="Y17" i="2"/>
  <c r="W17" i="2" s="1"/>
  <c r="M17" i="2"/>
  <c r="M71" i="2"/>
  <c r="Y27" i="2"/>
  <c r="W27" i="2" s="1"/>
  <c r="M27" i="2"/>
  <c r="M78" i="2"/>
  <c r="X36" i="2"/>
  <c r="V36" i="2" s="1"/>
  <c r="L36" i="2"/>
  <c r="L127" i="2"/>
  <c r="X44" i="2"/>
  <c r="V44" i="2" s="1"/>
  <c r="L44" i="2"/>
  <c r="L123" i="2"/>
  <c r="Y16" i="2"/>
  <c r="W16" i="2" s="1"/>
  <c r="M16" i="2"/>
  <c r="M74" i="2"/>
  <c r="Y30" i="2"/>
  <c r="W30" i="2" s="1"/>
  <c r="M30" i="2"/>
  <c r="M81" i="2"/>
  <c r="X37" i="2"/>
  <c r="V37" i="2" s="1"/>
  <c r="L37" i="2"/>
  <c r="L128" i="2"/>
  <c r="X45" i="2"/>
  <c r="V45" i="2" s="1"/>
  <c r="L45" i="2"/>
  <c r="L124" i="2"/>
  <c r="X43" i="2"/>
  <c r="V43" i="2" s="1"/>
  <c r="L43" i="2"/>
  <c r="L122" i="2"/>
  <c r="Y21" i="2"/>
  <c r="W21" i="2" s="1"/>
  <c r="M21" i="2"/>
  <c r="M84" i="2"/>
  <c r="Y28" i="2"/>
  <c r="W28" i="2" s="1"/>
  <c r="M28" i="2"/>
  <c r="M79" i="2"/>
  <c r="X38" i="2"/>
  <c r="V38" i="2" s="1"/>
  <c r="L38" i="2"/>
  <c r="L129" i="2"/>
  <c r="X46" i="2"/>
  <c r="V46" i="2" s="1"/>
  <c r="L46" i="2"/>
  <c r="L125" i="2"/>
  <c r="Y22" i="2"/>
  <c r="W22" i="2" s="1"/>
  <c r="M22" i="2"/>
  <c r="M85" i="2"/>
  <c r="Y29" i="2"/>
  <c r="W29" i="2" s="1"/>
  <c r="M29" i="2"/>
  <c r="M80" i="2"/>
  <c r="X39" i="2"/>
  <c r="V39" i="2" s="1"/>
  <c r="L39" i="2"/>
  <c r="L130" i="2"/>
  <c r="X47" i="2"/>
  <c r="V47" i="2" s="1"/>
  <c r="L47" i="2"/>
  <c r="L126" i="2"/>
  <c r="Y23" i="2"/>
  <c r="W23" i="2" s="1"/>
  <c r="M23" i="2"/>
  <c r="M86" i="2"/>
  <c r="Y15" i="2"/>
  <c r="W15" i="2" s="1"/>
  <c r="M15" i="2"/>
  <c r="M73" i="2"/>
  <c r="X32" i="2"/>
  <c r="V32" i="2" s="1"/>
  <c r="L32" i="2"/>
  <c r="L48" i="2" s="1"/>
  <c r="L118" i="2"/>
  <c r="X40" i="2"/>
  <c r="V40" i="2" s="1"/>
  <c r="L40" i="2"/>
  <c r="L131" i="2"/>
  <c r="Y18" i="2"/>
  <c r="W18" i="2" s="1"/>
  <c r="M18" i="2"/>
  <c r="M72" i="2"/>
  <c r="M19" i="2"/>
  <c r="Y19" i="2"/>
  <c r="W19" i="2" s="1"/>
  <c r="M82" i="2"/>
  <c r="Y24" i="2"/>
  <c r="W24" i="2" s="1"/>
  <c r="M24" i="2"/>
  <c r="M87" i="2"/>
  <c r="X33" i="2"/>
  <c r="V33" i="2" s="1"/>
  <c r="L33" i="2"/>
  <c r="L119" i="2"/>
  <c r="X41" i="2"/>
  <c r="V41" i="2" s="1"/>
  <c r="L41" i="2"/>
  <c r="L132" i="2"/>
  <c r="Y26" i="2"/>
  <c r="W26" i="2" s="1"/>
  <c r="M26" i="2"/>
  <c r="M77" i="2"/>
  <c r="Y20" i="2"/>
  <c r="W20" i="2" s="1"/>
  <c r="M20" i="2"/>
  <c r="M83" i="2"/>
  <c r="Y25" i="2"/>
  <c r="W25" i="2" s="1"/>
  <c r="M25" i="2"/>
  <c r="M76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Y12" i="2"/>
  <c r="W12" i="2" s="1"/>
  <c r="K47" i="2"/>
  <c r="K32" i="2"/>
  <c r="M12" i="2"/>
  <c r="M67" i="2"/>
  <c r="M69" i="2"/>
  <c r="X34" i="2"/>
  <c r="V34" i="2" s="1"/>
  <c r="L34" i="2"/>
  <c r="L116" i="2"/>
  <c r="X42" i="2"/>
  <c r="V42" i="2" s="1"/>
  <c r="L42" i="2"/>
  <c r="L121" i="2"/>
  <c r="L51" i="3" l="1"/>
  <c r="N50" i="3"/>
  <c r="M49" i="3"/>
  <c r="M51" i="3"/>
  <c r="N50" i="2"/>
  <c r="L51" i="2"/>
  <c r="Y44" i="2"/>
  <c r="W44" i="2" s="1"/>
  <c r="M44" i="2"/>
  <c r="M123" i="2"/>
  <c r="Y37" i="2"/>
  <c r="W37" i="2" s="1"/>
  <c r="M37" i="2"/>
  <c r="M128" i="2"/>
  <c r="Y45" i="2"/>
  <c r="W45" i="2" s="1"/>
  <c r="M45" i="2"/>
  <c r="M124" i="2"/>
  <c r="V48" i="2"/>
  <c r="Y39" i="2"/>
  <c r="W39" i="2" s="1"/>
  <c r="M39" i="2"/>
  <c r="M130" i="2"/>
  <c r="Y40" i="2"/>
  <c r="W40" i="2" s="1"/>
  <c r="M40" i="2"/>
  <c r="M131" i="2"/>
  <c r="Y32" i="2"/>
  <c r="W32" i="2" s="1"/>
  <c r="M32" i="2"/>
  <c r="M118" i="2"/>
  <c r="Y41" i="2"/>
  <c r="W41" i="2" s="1"/>
  <c r="M41" i="2"/>
  <c r="M132" i="2"/>
  <c r="Y38" i="2"/>
  <c r="W38" i="2" s="1"/>
  <c r="M38" i="2"/>
  <c r="M129" i="2"/>
  <c r="Y42" i="2"/>
  <c r="W42" i="2" s="1"/>
  <c r="M42" i="2"/>
  <c r="M121" i="2"/>
  <c r="Y36" i="2"/>
  <c r="W36" i="2" s="1"/>
  <c r="M36" i="2"/>
  <c r="M127" i="2"/>
  <c r="Y46" i="2"/>
  <c r="W46" i="2" s="1"/>
  <c r="M46" i="2"/>
  <c r="M125" i="2"/>
  <c r="Y47" i="2"/>
  <c r="W47" i="2" s="1"/>
  <c r="M47" i="2"/>
  <c r="M126" i="2"/>
  <c r="Y33" i="2"/>
  <c r="W33" i="2" s="1"/>
  <c r="M33" i="2"/>
  <c r="M119" i="2"/>
  <c r="Y34" i="2"/>
  <c r="W34" i="2" s="1"/>
  <c r="M34" i="2"/>
  <c r="M116" i="2"/>
  <c r="Y35" i="2"/>
  <c r="W35" i="2" s="1"/>
  <c r="M35" i="2"/>
  <c r="M117" i="2"/>
  <c r="Y43" i="2"/>
  <c r="W43" i="2" s="1"/>
  <c r="M43" i="2"/>
  <c r="M122" i="2"/>
  <c r="W48" i="2" l="1"/>
  <c r="W49" i="2" s="1"/>
  <c r="W50" i="2" s="1"/>
  <c r="M48" i="2"/>
  <c r="M49" i="2" s="1"/>
  <c r="M51" i="2" l="1"/>
</calcChain>
</file>

<file path=xl/sharedStrings.xml><?xml version="1.0" encoding="utf-8"?>
<sst xmlns="http://schemas.openxmlformats.org/spreadsheetml/2006/main" count="1148" uniqueCount="209">
  <si>
    <t>Venit total (mii lei)</t>
  </si>
  <si>
    <t>Venit componenta rezervare de capacitate (mii lei)</t>
  </si>
  <si>
    <t>procent alocare a venitului total in venituri fixe</t>
  </si>
  <si>
    <t>procent alocare grup puncte intrare/iesire</t>
  </si>
  <si>
    <t>Estimari de rezervare de capacitate</t>
  </si>
  <si>
    <t>grup puncte intrare</t>
  </si>
  <si>
    <t>grup puncte iesire</t>
  </si>
  <si>
    <t>Venit - mii lei</t>
  </si>
  <si>
    <t>nr. ore</t>
  </si>
  <si>
    <t>coeficient</t>
  </si>
  <si>
    <t>capacitate MWh</t>
  </si>
  <si>
    <t>capacitati ferme termen lung</t>
  </si>
  <si>
    <t>Intrare inmagazinare termen lung</t>
  </si>
  <si>
    <t>Iesire inmagazinare termen lung</t>
  </si>
  <si>
    <t>capacitati ferme termen lung intreruptibile</t>
  </si>
  <si>
    <t>capacitati ferme termen scurt luna aprilie vara</t>
  </si>
  <si>
    <t>capacitati ferme termen scurt luna aprilie vara inmagazinare</t>
  </si>
  <si>
    <t>capacitati ferme termen scurt luna mai vara</t>
  </si>
  <si>
    <t>capacitati ferme termen scurt luna mai vara inmagazinare</t>
  </si>
  <si>
    <t>capacitati ferme termen scurt luna iunie vara</t>
  </si>
  <si>
    <t>capacitati ferme termen scurt luna iunie vara inmagazinare</t>
  </si>
  <si>
    <t>capacitati ferme termen scurt luna iulie vara</t>
  </si>
  <si>
    <t>capacitati ferme termen scurt luna iulie vara inmagazinare</t>
  </si>
  <si>
    <t>capacitati ferme termen scurt luna august vara</t>
  </si>
  <si>
    <t>capacitati ferme termen scurt luna septembrie vara</t>
  </si>
  <si>
    <t>capacitati ferme termen scurt luna septembrie vara inmagazinare</t>
  </si>
  <si>
    <t>TOTAL</t>
  </si>
  <si>
    <t>Prețurile de referință</t>
  </si>
  <si>
    <t xml:space="preserve">coeficient de multiplicare </t>
  </si>
  <si>
    <t>coeficient de multiplicare</t>
  </si>
  <si>
    <t xml:space="preserve">Prețul de referință lei/MWh/ora </t>
  </si>
  <si>
    <t xml:space="preserve">Prețul de referință pentru serviciile de înmagazinare lei/MWh/ora </t>
  </si>
  <si>
    <t>celulele verzi se vor completa cu valorile estimate de utilizatori</t>
  </si>
  <si>
    <t>Instrucțiuni de utilizare:</t>
  </si>
  <si>
    <t>Pentru estimarea posibilei evoluții a tarifelor reglementate de transport al gazelor naturale, utilizatorii trebuie să completeze în celulele evidențiate cu highlight verde, estimări cu privire la:</t>
  </si>
  <si>
    <r>
      <t xml:space="preserve"> - </t>
    </r>
    <r>
      <rPr>
        <sz val="9"/>
        <color rgb="FF000000"/>
        <rFont val="Arial Narrow"/>
        <family val="2"/>
      </rPr>
      <t>Venitul total estimat</t>
    </r>
  </si>
  <si>
    <r>
      <t xml:space="preserve"> - </t>
    </r>
    <r>
      <rPr>
        <sz val="9"/>
        <color rgb="FF000000"/>
        <rFont val="Arial Narrow"/>
        <family val="2"/>
      </rPr>
      <t>Capacitatea de transport estimată a fi rezervată pentru fiecare categorie de produs</t>
    </r>
  </si>
  <si>
    <t xml:space="preserve"> - Coeficienții de multiplicare estimați pentru produsele de rezervare de capacitate pe termen scurt</t>
  </si>
  <si>
    <t>Venit total</t>
  </si>
  <si>
    <t>Venit componenta rezervare de capacitate</t>
  </si>
  <si>
    <t>Capacitățile rezervate estimate pentru perioada 1 octombrie 2023 - 30 septembrie 2024</t>
  </si>
  <si>
    <t>Anexa 3</t>
  </si>
  <si>
    <t>Tip capacitate</t>
  </si>
  <si>
    <t>Nr. ore</t>
  </si>
  <si>
    <t>Coeficient</t>
  </si>
  <si>
    <t xml:space="preserve">∑ cap.x ore x coef. </t>
  </si>
  <si>
    <t>tarife lei/MWh</t>
  </si>
  <si>
    <t>venit - lei</t>
  </si>
  <si>
    <t>capacitate MWh/h</t>
  </si>
  <si>
    <t>TL</t>
  </si>
  <si>
    <t>capacitati ferme termen lung intreruptibile inmagazinare</t>
  </si>
  <si>
    <t>capacitati ferme termen scurt trimestru II vara</t>
  </si>
  <si>
    <t>TS trim</t>
  </si>
  <si>
    <t>capacitati ferme termen scurt trimestru III vara</t>
  </si>
  <si>
    <t>capacitati ferme termen scurt trimestru IV iarna</t>
  </si>
  <si>
    <t>capacitati ferme termen scurt trimestru I iarna</t>
  </si>
  <si>
    <t>TS luna</t>
  </si>
  <si>
    <t>capacitati ferme termen scurt octombrie iarna</t>
  </si>
  <si>
    <t>capacitati ferme termen scurt noiembrie iarna</t>
  </si>
  <si>
    <t>capacitati ferme termen scurt decembrie iarna</t>
  </si>
  <si>
    <t>capacitati ferme termen scurt ianuarie iarna</t>
  </si>
  <si>
    <t>capacitati ferme termen scurt februarie iarna</t>
  </si>
  <si>
    <t>capacitati ferme termen scurt martie iarna</t>
  </si>
  <si>
    <t>INMAGAZINARE</t>
  </si>
  <si>
    <t>capacitati ferme termen scurt trimestru II vara inmagazinare</t>
  </si>
  <si>
    <t>capacitati ferme termen scurt trimestru III vara inmagazinare</t>
  </si>
  <si>
    <t>capacitati ferme termen scurt trimestru IV iarna inmagazinare</t>
  </si>
  <si>
    <t>capacitati ferme termen scurt trimestru I iarna inmagazinare</t>
  </si>
  <si>
    <t>capacitati ferme termen scurt luna august vara inmgazinare</t>
  </si>
  <si>
    <t>capacitati ferme termen scurt octombrie iarna inmagazinare</t>
  </si>
  <si>
    <t>capacitati ferme termen scurt noiembrie iarna inmagazinare</t>
  </si>
  <si>
    <t>capacitati ferme termen scurt decembrie iarna inmagazinare</t>
  </si>
  <si>
    <t>capacitati ferme termen scurt ianuarie iarna inmagazinare</t>
  </si>
  <si>
    <t xml:space="preserve"> </t>
  </si>
  <si>
    <t>capacitati ferme termen scurt februarie iarna inmagazinare</t>
  </si>
  <si>
    <t>capacitati ferme termen scurt martie iarna inmagazinare</t>
  </si>
  <si>
    <t>∑ cap.x ore x coef. Trim.vara</t>
  </si>
  <si>
    <t>∑ cap.x ore x coef. Trim.vara depozit</t>
  </si>
  <si>
    <t>∑ cap.x ore x coef. Trim.iarna</t>
  </si>
  <si>
    <t>∑ cap.x ore x coef. Trim.iarna depozit</t>
  </si>
  <si>
    <t>∑ cap.x ore x coef. Luna vara</t>
  </si>
  <si>
    <t>∑ cap.x ore x coef. Luna vara depozit</t>
  </si>
  <si>
    <t>∑ cap.x ore x coef. Luna iarna</t>
  </si>
  <si>
    <t>∑ cap.x ore x coef. Luna iarna depozit</t>
  </si>
  <si>
    <t>∑ cap.x ore x coef. Zi vara</t>
  </si>
  <si>
    <t>∑ cap.x ore x coef. Zi iarna</t>
  </si>
  <si>
    <t>total</t>
  </si>
  <si>
    <t>SNTGN Transgaz SA</t>
  </si>
  <si>
    <t>Anexa 9</t>
  </si>
  <si>
    <t>Tarifele pentru prestarea serviciilor de transport gaze naturale propuse pentru anul gazier 2023 - 2024</t>
  </si>
  <si>
    <t>Impact venit</t>
  </si>
  <si>
    <t>Nr. Crt.</t>
  </si>
  <si>
    <t>Denumire tarif</t>
  </si>
  <si>
    <t>Coeficient multiplicare</t>
  </si>
  <si>
    <t>UM</t>
  </si>
  <si>
    <t>Grup puncte intrare</t>
  </si>
  <si>
    <t>Grup puncte iesire</t>
  </si>
  <si>
    <t>Diferenta 2021-2022</t>
  </si>
  <si>
    <t>2021-2022</t>
  </si>
  <si>
    <t>Evolutie</t>
  </si>
  <si>
    <t>Tarife ferme termen lung</t>
  </si>
  <si>
    <t>lei/MWh/h/h</t>
  </si>
  <si>
    <t>lei/MWh/h/an</t>
  </si>
  <si>
    <t xml:space="preserve">Tarife ferme inmagazinare termen lung </t>
  </si>
  <si>
    <t>Tarife termen lung intreruptibile</t>
  </si>
  <si>
    <t>Tarife termen lung intreruptibile inmagazinare</t>
  </si>
  <si>
    <t>Tarife ferme termen scurt trimestrial</t>
  </si>
  <si>
    <t xml:space="preserve">Tarife ferme termen scurt trimestrul I (oct-dec) </t>
  </si>
  <si>
    <t>lei/MWh/h/Trim</t>
  </si>
  <si>
    <t>Tarife ferme termen scurt trimestrul II (ian - mar)</t>
  </si>
  <si>
    <t>Tarife ferme termen scurt trimestrul III (apr - iunie)</t>
  </si>
  <si>
    <t>Tarife ferme termen scurt trimestrul IV (iul - sept)</t>
  </si>
  <si>
    <t>Tarife ferme termen scurt lunar</t>
  </si>
  <si>
    <t>Tarife ferme termen scurt luna octombrie</t>
  </si>
  <si>
    <t>lei/MWh/h/luna</t>
  </si>
  <si>
    <t>Tarife ferme termen scurt luna noiembrie</t>
  </si>
  <si>
    <t>Tarife ferme termen scurt luna decembrie</t>
  </si>
  <si>
    <t>Tarife ferme termen scurt luna ianuarie</t>
  </si>
  <si>
    <t>Tarife ferme termen scurt luna februarie</t>
  </si>
  <si>
    <t>Tarife ferme termen scurt luna martie</t>
  </si>
  <si>
    <t xml:space="preserve">Tarife ferme termen scurt luna aprilie </t>
  </si>
  <si>
    <t>Tarife ferme termen scurt luna mai</t>
  </si>
  <si>
    <t>Tarife ferme termen scurt luna iunie</t>
  </si>
  <si>
    <t>Tarife ferme termen scurt luna iulie</t>
  </si>
  <si>
    <t>Tarife ferme termen scurt luna august</t>
  </si>
  <si>
    <t>Tarife ferme termen scurt luna septembrie</t>
  </si>
  <si>
    <t>Tarife ferme termen scurt zilnic</t>
  </si>
  <si>
    <t>Tarife ferme termen scurt zi octombrie</t>
  </si>
  <si>
    <t>lei/MWh/h/zi</t>
  </si>
  <si>
    <t>Tarife ferme termen scurt zi noiembrie</t>
  </si>
  <si>
    <t>Tarife ferme termen scurt zi decembrie</t>
  </si>
  <si>
    <t>Tarife ferme termen scurt zi ianuarie</t>
  </si>
  <si>
    <t>Tarife ferme termen scurt zi februarie</t>
  </si>
  <si>
    <t>Tarife ferme termen scurt zi martie</t>
  </si>
  <si>
    <t>Tarife ferme termen scurt zi aprilie</t>
  </si>
  <si>
    <t>Tarife ferme termen scurt zi mai</t>
  </si>
  <si>
    <t>Tarife ferme termen scurt zi iunie</t>
  </si>
  <si>
    <t>Tarife ferme termen scurt zi iulie</t>
  </si>
  <si>
    <t>Tarife ferme termen scurt zi august</t>
  </si>
  <si>
    <t xml:space="preserve">Tarife ferme termen scurt zi septembrie </t>
  </si>
  <si>
    <t>Tarife ferme termen scurt intrazilnic</t>
  </si>
  <si>
    <t>Tarife ferme termen scurt intrazilnic octombrie</t>
  </si>
  <si>
    <t>Tarife ferme termen scurt intrazilnic noiembrie</t>
  </si>
  <si>
    <t>Tarife ferme termen scurt intrazilnic decembrie</t>
  </si>
  <si>
    <t>Tarife ferme termen scurt intrazilnic ianuarie</t>
  </si>
  <si>
    <t>Tarife ferme termen scurt intrazilnic februarie</t>
  </si>
  <si>
    <t>Tarife ferme termen scurt intrazilnic martie</t>
  </si>
  <si>
    <t>Tarife ferme termen scurt intrazilnic aprilie</t>
  </si>
  <si>
    <t>Tarife ferme termen scurt intrazilnic mai</t>
  </si>
  <si>
    <t>Tarife ferme termen scurt intrazilnic iunie</t>
  </si>
  <si>
    <t>Tarife ferme termen scurt intrazilnic iulie</t>
  </si>
  <si>
    <t>Tarife ferme termen scurt intrazilnic august</t>
  </si>
  <si>
    <t>Tarife ferme termen scurt intrazilnic septembrie</t>
  </si>
  <si>
    <t>Tarife termen scurt inmagazinare</t>
  </si>
  <si>
    <t>Tarife ferme termen scurt trimestrial inmagazinare</t>
  </si>
  <si>
    <t>Tarife ferme termen scurt lunar inmagazinare</t>
  </si>
  <si>
    <t>Tarife ferme termen scurt zilnic inmagazinare</t>
  </si>
  <si>
    <t>Tarife ferme termen scurt zi septembrie</t>
  </si>
  <si>
    <t>Tarife ferme termen scurt intrazilnic inmagazinare</t>
  </si>
  <si>
    <t>Tarif volumetric</t>
  </si>
  <si>
    <t>lei/MWh</t>
  </si>
  <si>
    <t>cond comp</t>
  </si>
  <si>
    <t>2022-2023</t>
  </si>
  <si>
    <t>componenta volumetrica</t>
  </si>
  <si>
    <t>componenta volumetrica fara taxa monopol</t>
  </si>
  <si>
    <t>*2018/2019</t>
  </si>
  <si>
    <t>cantitate transportata MWh</t>
  </si>
  <si>
    <t>cantitate transportata fara inmagazinare MWh</t>
  </si>
  <si>
    <t>componenta volumetrica lei/MWh</t>
  </si>
  <si>
    <t>Componenta volumetrica distributie lei/MWh</t>
  </si>
  <si>
    <t>OUG 57/2015, art 27</t>
  </si>
  <si>
    <t>Componenta volumetrica  consumatori directi lei/MWh</t>
  </si>
  <si>
    <t>OUG 57/2015, art 28</t>
  </si>
  <si>
    <t>tarif mediu</t>
  </si>
  <si>
    <t>tarif termen lung intrare</t>
  </si>
  <si>
    <t>tarif termen lung iesire</t>
  </si>
  <si>
    <t>venit termen lung an</t>
  </si>
  <si>
    <t>venit termen lung an inmagazinare</t>
  </si>
  <si>
    <t>venit termen scurt trimestru vara</t>
  </si>
  <si>
    <t>venit termen scurt trimestru vara depozitare</t>
  </si>
  <si>
    <t>venit termen scurt trimestru iarna</t>
  </si>
  <si>
    <t>venit termen scurt trimestru iarna depozitare</t>
  </si>
  <si>
    <t>venit termen scurt luna vara</t>
  </si>
  <si>
    <t>venit termen scurt luna vara depozitare</t>
  </si>
  <si>
    <t>venit termen scurt luna iarna</t>
  </si>
  <si>
    <t>venit termen scurt luna iarna depozitare</t>
  </si>
  <si>
    <t xml:space="preserve">Model simplificat pentru estimarea eventualei evolutii a tarifelor de transport </t>
  </si>
  <si>
    <t>An gazier oct.2025-sept.2026 estimat</t>
  </si>
  <si>
    <t>An gazier oct.2024-sept.2025 aprobat</t>
  </si>
  <si>
    <t>An gazier oct.2026-sept.2027 estimat</t>
  </si>
  <si>
    <t>An gazier oct.2027-sept.2028 estimat</t>
  </si>
  <si>
    <t>An gazier oct.2028-sept.2029 estimat</t>
  </si>
  <si>
    <t>An gazier oct.2029-sept.2030 estimat</t>
  </si>
  <si>
    <t>Capacitățile rezervate estimate pentru perioada 1 octombrie 2024 - 30 septembrie 2025</t>
  </si>
  <si>
    <t>Tarifele pentru prestarea serviciilor de transport gaze naturale propuse pentru anul gazier 2024 - 2025</t>
  </si>
  <si>
    <t>2024-2025</t>
  </si>
  <si>
    <t>Tarif aprobat 2023-2024</t>
  </si>
  <si>
    <t>Realizat 2023-2024</t>
  </si>
  <si>
    <t>Realizat 2022-2023</t>
  </si>
  <si>
    <t>PRODUSE PE TERMEN SCURT</t>
  </si>
  <si>
    <t>PRODUSE PE TERMEN SCURT INMAGAZINARE</t>
  </si>
  <si>
    <t>capacitati ferme termen scurt trimestru III</t>
  </si>
  <si>
    <t>capacitati ferme termen scurt trimestru IV</t>
  </si>
  <si>
    <t xml:space="preserve">capacitati ferme termen scurt trimestru I </t>
  </si>
  <si>
    <t>capacitati ferme termen scurt trimestru II</t>
  </si>
  <si>
    <t>capacitati ferme termen scurt trimestru III inmagazinare</t>
  </si>
  <si>
    <t>capacitati ferme termen scurt trimestru IV inmagazinare</t>
  </si>
  <si>
    <t>capacitati ferme termen scurt trimestru I inmagazinare</t>
  </si>
  <si>
    <t>capacitati ferme termen scurt trimestru II inmagazinare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</si>
</sst>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\-yy;@"/>
    <numFmt numFmtId="165" formatCode="0.0%"/>
    <numFmt numFmtId="166" formatCode="#,##0.000000000"/>
    <numFmt numFmtId="167" formatCode="#,##0.000"/>
    <numFmt numFmtId="168" formatCode="0.00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  <font>
      <sz val="11"/>
      <color indexed="8"/>
      <name val="Calibri"/>
      <family val="2"/>
      <charset val="238"/>
    </font>
    <font>
      <sz val="9"/>
      <name val="Segoe UI"/>
      <family val="2"/>
    </font>
    <font>
      <sz val="9"/>
      <color rgb="FFFF0000"/>
      <name val="Segoe UI"/>
      <family val="2"/>
    </font>
    <font>
      <b/>
      <sz val="9"/>
      <color rgb="FFFF0000"/>
      <name val="Segoe UI"/>
      <family val="2"/>
    </font>
    <font>
      <b/>
      <sz val="12"/>
      <name val="Segoe UI"/>
      <family val="2"/>
    </font>
    <font>
      <b/>
      <sz val="9"/>
      <name val="Segoe UI"/>
      <family val="2"/>
    </font>
    <font>
      <sz val="9"/>
      <color indexed="1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sz val="9"/>
      <color indexed="8"/>
      <name val="Segoe UI"/>
      <family val="2"/>
    </font>
    <font>
      <sz val="9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/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/>
      <diagonal/>
    </border>
    <border>
      <left style="thin">
        <color indexed="0"/>
      </left>
      <right style="thin">
        <color indexed="0"/>
      </right>
      <top style="double">
        <color indexed="0"/>
      </top>
      <bottom/>
      <diagonal/>
    </border>
    <border>
      <left style="double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double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8"/>
      </right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0"/>
      </top>
      <bottom/>
      <diagonal/>
    </border>
    <border>
      <left style="thin">
        <color indexed="8"/>
      </left>
      <right style="double">
        <color indexed="0"/>
      </right>
      <top style="double">
        <color indexed="0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0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0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double">
        <color indexed="0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0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0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  <xf numFmtId="164" fontId="16" fillId="0" borderId="0"/>
  </cellStyleXfs>
  <cellXfs count="228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7" xfId="2" applyFont="1" applyBorder="1" applyProtection="1"/>
    <xf numFmtId="164" fontId="6" fillId="0" borderId="10" xfId="2" applyFont="1" applyBorder="1" applyProtection="1"/>
    <xf numFmtId="3" fontId="7" fillId="3" borderId="7" xfId="2" applyNumberFormat="1" applyFont="1" applyFill="1" applyBorder="1" applyProtection="1"/>
    <xf numFmtId="165" fontId="8" fillId="3" borderId="8" xfId="1" applyNumberFormat="1" applyFont="1" applyFill="1" applyBorder="1" applyProtection="1"/>
    <xf numFmtId="3" fontId="6" fillId="0" borderId="8" xfId="2" applyNumberFormat="1" applyFont="1" applyBorder="1" applyProtection="1"/>
    <xf numFmtId="3" fontId="6" fillId="0" borderId="9" xfId="2" applyNumberFormat="1" applyFont="1" applyBorder="1" applyProtection="1"/>
    <xf numFmtId="3" fontId="9" fillId="3" borderId="7" xfId="2" applyNumberFormat="1" applyFont="1" applyFill="1" applyBorder="1" applyProtection="1"/>
    <xf numFmtId="165" fontId="9" fillId="3" borderId="8" xfId="1" applyNumberFormat="1" applyFont="1" applyFill="1" applyBorder="1" applyProtection="1"/>
    <xf numFmtId="10" fontId="2" fillId="0" borderId="8" xfId="2" applyNumberFormat="1" applyFont="1" applyBorder="1" applyProtection="1"/>
    <xf numFmtId="10" fontId="2" fillId="0" borderId="9" xfId="2" applyNumberFormat="1" applyFont="1" applyBorder="1" applyProtection="1"/>
    <xf numFmtId="164" fontId="6" fillId="0" borderId="11" xfId="2" applyFont="1" applyBorder="1" applyProtection="1"/>
    <xf numFmtId="4" fontId="2" fillId="0" borderId="12" xfId="2" applyNumberFormat="1" applyFont="1" applyBorder="1" applyProtection="1"/>
    <xf numFmtId="3" fontId="2" fillId="0" borderId="13" xfId="2" applyNumberFormat="1" applyFont="1" applyBorder="1" applyProtection="1"/>
    <xf numFmtId="10" fontId="2" fillId="0" borderId="13" xfId="2" applyNumberFormat="1" applyFont="1" applyBorder="1" applyProtection="1"/>
    <xf numFmtId="10" fontId="2" fillId="0" borderId="14" xfId="2" applyNumberFormat="1" applyFont="1" applyBorder="1" applyProtection="1"/>
    <xf numFmtId="164" fontId="2" fillId="0" borderId="15" xfId="2" applyFont="1" applyBorder="1" applyProtection="1"/>
    <xf numFmtId="3" fontId="3" fillId="0" borderId="16" xfId="2" applyNumberFormat="1" applyFont="1" applyBorder="1" applyProtection="1"/>
    <xf numFmtId="3" fontId="3" fillId="0" borderId="17" xfId="2" applyNumberFormat="1" applyFont="1" applyBorder="1" applyProtection="1"/>
    <xf numFmtId="164" fontId="3" fillId="0" borderId="18" xfId="2" applyFont="1" applyBorder="1" applyAlignment="1" applyProtection="1">
      <alignment horizontal="center" wrapText="1"/>
    </xf>
    <xf numFmtId="164" fontId="3" fillId="0" borderId="19" xfId="2" applyFont="1" applyBorder="1" applyAlignment="1" applyProtection="1">
      <alignment horizontal="center" wrapText="1"/>
    </xf>
    <xf numFmtId="164" fontId="3" fillId="0" borderId="17" xfId="2" applyFont="1" applyBorder="1" applyAlignment="1" applyProtection="1">
      <alignment horizontal="center" wrapText="1"/>
    </xf>
    <xf numFmtId="164" fontId="3" fillId="0" borderId="20" xfId="2" applyFont="1" applyBorder="1" applyAlignment="1" applyProtection="1">
      <alignment horizontal="center" wrapText="1"/>
    </xf>
    <xf numFmtId="164" fontId="2" fillId="0" borderId="21" xfId="2" applyFont="1" applyBorder="1" applyProtection="1"/>
    <xf numFmtId="3" fontId="3" fillId="0" borderId="22" xfId="2" applyNumberFormat="1" applyFont="1" applyBorder="1" applyAlignment="1" applyProtection="1">
      <alignment horizontal="center"/>
    </xf>
    <xf numFmtId="3" fontId="3" fillId="0" borderId="23" xfId="2" applyNumberFormat="1" applyFont="1" applyBorder="1" applyAlignment="1" applyProtection="1">
      <alignment horizontal="center"/>
    </xf>
    <xf numFmtId="164" fontId="3" fillId="0" borderId="21" xfId="3" applyFont="1" applyFill="1" applyBorder="1" applyAlignment="1" applyProtection="1">
      <alignment horizontal="justify" vertical="center" wrapText="1"/>
    </xf>
    <xf numFmtId="0" fontId="3" fillId="0" borderId="22" xfId="3" applyNumberFormat="1" applyFont="1" applyFill="1" applyBorder="1" applyAlignment="1" applyProtection="1">
      <alignment horizontal="right" vertical="center" wrapText="1"/>
    </xf>
    <xf numFmtId="3" fontId="2" fillId="2" borderId="23" xfId="2" applyNumberFormat="1" applyFont="1" applyFill="1" applyBorder="1" applyProtection="1">
      <protection locked="0"/>
    </xf>
    <xf numFmtId="3" fontId="2" fillId="2" borderId="27" xfId="2" applyNumberFormat="1" applyFont="1" applyFill="1" applyBorder="1" applyProtection="1">
      <protection locked="0"/>
    </xf>
    <xf numFmtId="164" fontId="3" fillId="0" borderId="28" xfId="3" applyFont="1" applyFill="1" applyBorder="1" applyAlignment="1" applyProtection="1">
      <alignment horizontal="justify" vertical="center" wrapText="1"/>
    </xf>
    <xf numFmtId="0" fontId="3" fillId="0" borderId="29" xfId="3" applyNumberFormat="1" applyFont="1" applyFill="1" applyBorder="1" applyAlignment="1" applyProtection="1">
      <alignment horizontal="right" vertical="center" wrapText="1"/>
    </xf>
    <xf numFmtId="4" fontId="3" fillId="0" borderId="30" xfId="2" applyNumberFormat="1" applyFont="1" applyBorder="1" applyProtection="1"/>
    <xf numFmtId="3" fontId="3" fillId="0" borderId="30" xfId="2" applyNumberFormat="1" applyFont="1" applyBorder="1" applyProtection="1"/>
    <xf numFmtId="3" fontId="3" fillId="0" borderId="31" xfId="2" applyNumberFormat="1" applyFont="1" applyBorder="1" applyProtection="1"/>
    <xf numFmtId="164" fontId="6" fillId="4" borderId="32" xfId="2" applyFont="1" applyFill="1" applyBorder="1" applyProtection="1"/>
    <xf numFmtId="3" fontId="3" fillId="4" borderId="33" xfId="2" applyNumberFormat="1" applyFont="1" applyFill="1" applyBorder="1" applyAlignment="1" applyProtection="1">
      <alignment horizontal="center" wrapText="1"/>
    </xf>
    <xf numFmtId="3" fontId="2" fillId="4" borderId="33" xfId="2" applyNumberFormat="1" applyFont="1" applyFill="1" applyBorder="1" applyProtection="1"/>
    <xf numFmtId="164" fontId="3" fillId="4" borderId="33" xfId="2" applyFont="1" applyFill="1" applyBorder="1" applyAlignment="1" applyProtection="1">
      <alignment horizontal="center" wrapText="1"/>
    </xf>
    <xf numFmtId="164" fontId="3" fillId="4" borderId="34" xfId="2" applyFont="1" applyFill="1" applyBorder="1" applyAlignment="1" applyProtection="1">
      <alignment horizontal="center" wrapText="1"/>
    </xf>
    <xf numFmtId="164" fontId="3" fillId="4" borderId="26" xfId="3" applyFont="1" applyFill="1" applyBorder="1" applyAlignment="1" applyProtection="1">
      <alignment horizontal="justify" vertical="center" wrapText="1"/>
    </xf>
    <xf numFmtId="2" fontId="3" fillId="4" borderId="23" xfId="3" applyNumberFormat="1" applyFont="1" applyFill="1" applyBorder="1" applyAlignment="1" applyProtection="1">
      <alignment horizontal="right" vertical="center" wrapText="1"/>
    </xf>
    <xf numFmtId="3" fontId="2" fillId="4" borderId="23" xfId="2" applyNumberFormat="1" applyFont="1" applyFill="1" applyBorder="1" applyProtection="1"/>
    <xf numFmtId="4" fontId="2" fillId="4" borderId="23" xfId="2" applyNumberFormat="1" applyFont="1" applyFill="1" applyBorder="1" applyProtection="1"/>
    <xf numFmtId="2" fontId="2" fillId="4" borderId="35" xfId="2" applyNumberFormat="1" applyFont="1" applyFill="1" applyBorder="1" applyProtection="1"/>
    <xf numFmtId="4" fontId="2" fillId="4" borderId="35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6" xfId="0" applyFont="1" applyBorder="1" applyAlignment="1">
      <alignment horizontal="justify" vertical="center" readingOrder="1"/>
    </xf>
    <xf numFmtId="0" fontId="13" fillId="0" borderId="37" xfId="0" applyFont="1" applyBorder="1" applyAlignment="1">
      <alignment horizontal="justify" vertical="center" readingOrder="1"/>
    </xf>
    <xf numFmtId="0" fontId="14" fillId="0" borderId="37" xfId="0" applyFont="1" applyBorder="1" applyAlignment="1">
      <alignment horizontal="justify" vertical="center" readingOrder="1"/>
    </xf>
    <xf numFmtId="0" fontId="13" fillId="0" borderId="38" xfId="0" applyFont="1" applyBorder="1" applyAlignment="1">
      <alignment horizontal="justify" vertical="center" readingOrder="1"/>
    </xf>
    <xf numFmtId="3" fontId="2" fillId="0" borderId="23" xfId="2" applyNumberFormat="1" applyFont="1" applyFill="1" applyBorder="1" applyProtection="1">
      <protection locked="0"/>
    </xf>
    <xf numFmtId="4" fontId="17" fillId="0" borderId="0" xfId="2" applyNumberFormat="1" applyFont="1"/>
    <xf numFmtId="164" fontId="17" fillId="0" borderId="0" xfId="2" applyFont="1"/>
    <xf numFmtId="3" fontId="17" fillId="0" borderId="0" xfId="2" applyNumberFormat="1" applyFont="1"/>
    <xf numFmtId="9" fontId="17" fillId="0" borderId="0" xfId="1" applyFont="1"/>
    <xf numFmtId="166" fontId="17" fillId="0" borderId="0" xfId="2" applyNumberFormat="1" applyFont="1"/>
    <xf numFmtId="4" fontId="18" fillId="3" borderId="0" xfId="2" applyNumberFormat="1" applyFont="1" applyFill="1"/>
    <xf numFmtId="165" fontId="19" fillId="3" borderId="0" xfId="1" applyNumberFormat="1" applyFont="1" applyFill="1"/>
    <xf numFmtId="4" fontId="17" fillId="0" borderId="23" xfId="2" applyNumberFormat="1" applyFont="1" applyBorder="1"/>
    <xf numFmtId="165" fontId="17" fillId="5" borderId="0" xfId="1" applyNumberFormat="1" applyFont="1" applyFill="1"/>
    <xf numFmtId="164" fontId="20" fillId="5" borderId="0" xfId="2" applyFont="1" applyFill="1"/>
    <xf numFmtId="165" fontId="21" fillId="5" borderId="0" xfId="1" applyNumberFormat="1" applyFont="1" applyFill="1"/>
    <xf numFmtId="3" fontId="21" fillId="5" borderId="0" xfId="2" applyNumberFormat="1" applyFont="1" applyFill="1"/>
    <xf numFmtId="3" fontId="21" fillId="0" borderId="0" xfId="2" applyNumberFormat="1" applyFont="1"/>
    <xf numFmtId="164" fontId="21" fillId="0" borderId="33" xfId="2" applyFont="1" applyBorder="1" applyAlignment="1">
      <alignment horizontal="center" wrapText="1"/>
    </xf>
    <xf numFmtId="164" fontId="21" fillId="0" borderId="34" xfId="2" applyFont="1" applyBorder="1" applyAlignment="1">
      <alignment horizontal="center" wrapText="1"/>
    </xf>
    <xf numFmtId="164" fontId="21" fillId="0" borderId="26" xfId="3" applyFont="1" applyFill="1" applyBorder="1" applyAlignment="1">
      <alignment horizontal="justify" vertical="center" wrapText="1"/>
    </xf>
    <xf numFmtId="0" fontId="21" fillId="6" borderId="23" xfId="3" applyNumberFormat="1" applyFont="1" applyFill="1" applyBorder="1" applyAlignment="1">
      <alignment horizontal="right" vertical="center" wrapText="1"/>
    </xf>
    <xf numFmtId="3" fontId="17" fillId="0" borderId="23" xfId="2" applyNumberFormat="1" applyFont="1" applyBorder="1"/>
    <xf numFmtId="3" fontId="17" fillId="0" borderId="35" xfId="2" applyNumberFormat="1" applyFont="1" applyBorder="1"/>
    <xf numFmtId="9" fontId="17" fillId="0" borderId="0" xfId="1" applyNumberFormat="1" applyFont="1"/>
    <xf numFmtId="0" fontId="21" fillId="0" borderId="23" xfId="3" applyNumberFormat="1" applyFont="1" applyFill="1" applyBorder="1" applyAlignment="1">
      <alignment horizontal="right" vertical="center" wrapText="1"/>
    </xf>
    <xf numFmtId="3" fontId="17" fillId="7" borderId="23" xfId="2" applyNumberFormat="1" applyFont="1" applyFill="1" applyBorder="1"/>
    <xf numFmtId="10" fontId="17" fillId="0" borderId="0" xfId="1" applyNumberFormat="1" applyFont="1"/>
    <xf numFmtId="164" fontId="19" fillId="0" borderId="47" xfId="3" applyFont="1" applyFill="1" applyBorder="1" applyAlignment="1">
      <alignment horizontal="center" vertical="center" wrapText="1"/>
    </xf>
    <xf numFmtId="0" fontId="21" fillId="0" borderId="48" xfId="3" applyNumberFormat="1" applyFont="1" applyFill="1" applyBorder="1" applyAlignment="1">
      <alignment horizontal="right" vertical="center" wrapText="1"/>
    </xf>
    <xf numFmtId="4" fontId="17" fillId="0" borderId="48" xfId="2" applyNumberFormat="1" applyFont="1" applyBorder="1"/>
    <xf numFmtId="3" fontId="17" fillId="0" borderId="48" xfId="2" applyNumberFormat="1" applyFont="1" applyBorder="1"/>
    <xf numFmtId="164" fontId="21" fillId="0" borderId="47" xfId="3" applyFont="1" applyFill="1" applyBorder="1" applyAlignment="1">
      <alignment horizontal="justify" vertical="center" wrapText="1"/>
    </xf>
    <xf numFmtId="164" fontId="21" fillId="0" borderId="49" xfId="3" applyFont="1" applyFill="1" applyBorder="1" applyAlignment="1">
      <alignment horizontal="justify" vertical="center" wrapText="1"/>
    </xf>
    <xf numFmtId="0" fontId="21" fillId="0" borderId="50" xfId="3" applyNumberFormat="1" applyFont="1" applyFill="1" applyBorder="1" applyAlignment="1">
      <alignment horizontal="right" vertical="center" wrapText="1"/>
    </xf>
    <xf numFmtId="4" fontId="21" fillId="0" borderId="50" xfId="2" applyNumberFormat="1" applyFont="1" applyBorder="1"/>
    <xf numFmtId="3" fontId="21" fillId="0" borderId="50" xfId="2" applyNumberFormat="1" applyFont="1" applyBorder="1"/>
    <xf numFmtId="164" fontId="21" fillId="0" borderId="0" xfId="3" applyFont="1" applyFill="1" applyBorder="1" applyAlignment="1">
      <alignment horizontal="justify" vertical="center" wrapText="1"/>
    </xf>
    <xf numFmtId="0" fontId="21" fillId="0" borderId="0" xfId="3" applyNumberFormat="1" applyFont="1" applyFill="1" applyBorder="1" applyAlignment="1">
      <alignment horizontal="right" vertical="center" wrapText="1"/>
    </xf>
    <xf numFmtId="165" fontId="17" fillId="0" borderId="0" xfId="1" applyNumberFormat="1" applyFont="1"/>
    <xf numFmtId="4" fontId="17" fillId="0" borderId="0" xfId="1" applyNumberFormat="1" applyFont="1"/>
    <xf numFmtId="10" fontId="17" fillId="0" borderId="0" xfId="2" applyNumberFormat="1" applyFont="1"/>
    <xf numFmtId="3" fontId="22" fillId="0" borderId="0" xfId="2" applyNumberFormat="1" applyFont="1"/>
    <xf numFmtId="164" fontId="23" fillId="0" borderId="0" xfId="2" applyFont="1"/>
    <xf numFmtId="164" fontId="24" fillId="0" borderId="0" xfId="2" applyFont="1"/>
    <xf numFmtId="3" fontId="24" fillId="0" borderId="0" xfId="2" applyNumberFormat="1" applyFont="1"/>
    <xf numFmtId="3" fontId="23" fillId="0" borderId="0" xfId="2" applyNumberFormat="1" applyFont="1" applyAlignment="1">
      <alignment horizontal="right"/>
    </xf>
    <xf numFmtId="9" fontId="21" fillId="8" borderId="0" xfId="1" applyFont="1" applyFill="1"/>
    <xf numFmtId="3" fontId="21" fillId="0" borderId="51" xfId="2" applyNumberFormat="1" applyFont="1" applyFill="1" applyBorder="1" applyAlignment="1">
      <alignment horizontal="center" vertical="center" wrapText="1"/>
    </xf>
    <xf numFmtId="164" fontId="21" fillId="0" borderId="52" xfId="2" applyFont="1" applyFill="1" applyBorder="1" applyAlignment="1">
      <alignment horizontal="center" vertical="center"/>
    </xf>
    <xf numFmtId="3" fontId="21" fillId="0" borderId="52" xfId="2" applyNumberFormat="1" applyFont="1" applyFill="1" applyBorder="1" applyAlignment="1">
      <alignment horizontal="center" vertical="center" wrapText="1"/>
    </xf>
    <xf numFmtId="3" fontId="21" fillId="0" borderId="52" xfId="2" applyNumberFormat="1" applyFont="1" applyFill="1" applyBorder="1" applyAlignment="1">
      <alignment horizontal="center" vertical="center"/>
    </xf>
    <xf numFmtId="164" fontId="21" fillId="0" borderId="52" xfId="2" applyFont="1" applyFill="1" applyBorder="1" applyAlignment="1">
      <alignment horizontal="center" vertical="center" wrapText="1"/>
    </xf>
    <xf numFmtId="164" fontId="21" fillId="0" borderId="53" xfId="2" applyFont="1" applyFill="1" applyBorder="1" applyAlignment="1">
      <alignment horizontal="center" vertical="center" wrapText="1"/>
    </xf>
    <xf numFmtId="3" fontId="21" fillId="0" borderId="54" xfId="3" applyNumberFormat="1" applyFont="1" applyFill="1" applyBorder="1" applyAlignment="1">
      <alignment horizontal="center" vertical="center" wrapText="1"/>
    </xf>
    <xf numFmtId="164" fontId="21" fillId="0" borderId="55" xfId="3" applyFont="1" applyFill="1" applyBorder="1" applyAlignment="1">
      <alignment horizontal="justify" vertical="center" wrapText="1"/>
    </xf>
    <xf numFmtId="2" fontId="21" fillId="0" borderId="55" xfId="3" applyNumberFormat="1" applyFont="1" applyFill="1" applyBorder="1" applyAlignment="1">
      <alignment horizontal="center" vertical="center" wrapText="1"/>
    </xf>
    <xf numFmtId="3" fontId="17" fillId="0" borderId="55" xfId="2" applyNumberFormat="1" applyFont="1" applyFill="1" applyBorder="1" applyAlignment="1">
      <alignment horizontal="center" vertical="center"/>
    </xf>
    <xf numFmtId="4" fontId="17" fillId="0" borderId="55" xfId="2" applyNumberFormat="1" applyFont="1" applyFill="1" applyBorder="1"/>
    <xf numFmtId="2" fontId="17" fillId="0" borderId="55" xfId="2" applyNumberFormat="1" applyFont="1" applyFill="1" applyBorder="1"/>
    <xf numFmtId="4" fontId="17" fillId="0" borderId="56" xfId="2" applyNumberFormat="1" applyFont="1" applyFill="1" applyBorder="1"/>
    <xf numFmtId="4" fontId="18" fillId="0" borderId="0" xfId="2" applyNumberFormat="1" applyFont="1"/>
    <xf numFmtId="3" fontId="21" fillId="0" borderId="7" xfId="3" applyNumberFormat="1" applyFont="1" applyFill="1" applyBorder="1" applyAlignment="1">
      <alignment horizontal="center" vertical="center" wrapText="1"/>
    </xf>
    <xf numFmtId="164" fontId="21" fillId="0" borderId="8" xfId="3" applyFont="1" applyFill="1" applyBorder="1" applyAlignment="1">
      <alignment horizontal="justify" vertical="center" wrapText="1"/>
    </xf>
    <xf numFmtId="2" fontId="21" fillId="0" borderId="8" xfId="3" applyNumberFormat="1" applyFont="1" applyFill="1" applyBorder="1" applyAlignment="1">
      <alignment horizontal="center" vertical="center" wrapText="1"/>
    </xf>
    <xf numFmtId="3" fontId="17" fillId="0" borderId="8" xfId="2" applyNumberFormat="1" applyFont="1" applyFill="1" applyBorder="1" applyAlignment="1">
      <alignment horizontal="center" vertical="center"/>
    </xf>
    <xf numFmtId="4" fontId="17" fillId="0" borderId="8" xfId="2" applyNumberFormat="1" applyFont="1" applyFill="1" applyBorder="1"/>
    <xf numFmtId="2" fontId="17" fillId="0" borderId="8" xfId="2" applyNumberFormat="1" applyFont="1" applyFill="1" applyBorder="1"/>
    <xf numFmtId="4" fontId="17" fillId="0" borderId="57" xfId="2" applyNumberFormat="1" applyFont="1" applyFill="1" applyBorder="1"/>
    <xf numFmtId="3" fontId="21" fillId="0" borderId="58" xfId="3" applyNumberFormat="1" applyFont="1" applyFill="1" applyBorder="1" applyAlignment="1">
      <alignment horizontal="center" vertical="center" wrapText="1"/>
    </xf>
    <xf numFmtId="164" fontId="21" fillId="0" borderId="59" xfId="3" applyFont="1" applyFill="1" applyBorder="1" applyAlignment="1">
      <alignment horizontal="justify" vertical="center" wrapText="1"/>
    </xf>
    <xf numFmtId="2" fontId="21" fillId="0" borderId="59" xfId="3" applyNumberFormat="1" applyFont="1" applyFill="1" applyBorder="1" applyAlignment="1">
      <alignment horizontal="center" vertical="center" wrapText="1"/>
    </xf>
    <xf numFmtId="3" fontId="17" fillId="0" borderId="59" xfId="2" applyNumberFormat="1" applyFont="1" applyFill="1" applyBorder="1" applyAlignment="1">
      <alignment horizontal="center" vertical="center"/>
    </xf>
    <xf numFmtId="4" fontId="17" fillId="0" borderId="59" xfId="2" applyNumberFormat="1" applyFont="1" applyFill="1" applyBorder="1"/>
    <xf numFmtId="2" fontId="17" fillId="0" borderId="59" xfId="2" applyNumberFormat="1" applyFont="1" applyFill="1" applyBorder="1"/>
    <xf numFmtId="4" fontId="17" fillId="0" borderId="60" xfId="2" applyNumberFormat="1" applyFont="1" applyFill="1" applyBorder="1"/>
    <xf numFmtId="167" fontId="17" fillId="0" borderId="0" xfId="2" applyNumberFormat="1" applyFont="1"/>
    <xf numFmtId="4" fontId="21" fillId="0" borderId="59" xfId="2" applyNumberFormat="1" applyFont="1" applyFill="1" applyBorder="1" applyAlignment="1">
      <alignment horizontal="center"/>
    </xf>
    <xf numFmtId="4" fontId="21" fillId="0" borderId="55" xfId="2" applyNumberFormat="1" applyFont="1" applyFill="1" applyBorder="1" applyAlignment="1">
      <alignment horizontal="center"/>
    </xf>
    <xf numFmtId="4" fontId="21" fillId="0" borderId="8" xfId="2" applyNumberFormat="1" applyFont="1" applyFill="1" applyBorder="1" applyAlignment="1">
      <alignment horizontal="center"/>
    </xf>
    <xf numFmtId="3" fontId="21" fillId="0" borderId="64" xfId="3" applyNumberFormat="1" applyFont="1" applyFill="1" applyBorder="1" applyAlignment="1">
      <alignment horizontal="center" vertical="center" wrapText="1"/>
    </xf>
    <xf numFmtId="164" fontId="21" fillId="0" borderId="65" xfId="3" applyFont="1" applyFill="1" applyBorder="1" applyAlignment="1">
      <alignment horizontal="justify" vertical="center" wrapText="1"/>
    </xf>
    <xf numFmtId="4" fontId="21" fillId="0" borderId="65" xfId="2" applyNumberFormat="1" applyFont="1" applyFill="1" applyBorder="1" applyAlignment="1">
      <alignment horizontal="center"/>
    </xf>
    <xf numFmtId="3" fontId="17" fillId="0" borderId="65" xfId="2" applyNumberFormat="1" applyFont="1" applyFill="1" applyBorder="1" applyAlignment="1">
      <alignment horizontal="center" vertical="center"/>
    </xf>
    <xf numFmtId="4" fontId="17" fillId="0" borderId="65" xfId="2" applyNumberFormat="1" applyFont="1" applyFill="1" applyBorder="1"/>
    <xf numFmtId="4" fontId="17" fillId="0" borderId="66" xfId="2" applyNumberFormat="1" applyFont="1" applyFill="1" applyBorder="1"/>
    <xf numFmtId="3" fontId="21" fillId="0" borderId="67" xfId="3" applyNumberFormat="1" applyFont="1" applyFill="1" applyBorder="1" applyAlignment="1">
      <alignment horizontal="center" vertical="center" wrapText="1"/>
    </xf>
    <xf numFmtId="164" fontId="21" fillId="0" borderId="68" xfId="3" applyFont="1" applyFill="1" applyBorder="1" applyAlignment="1">
      <alignment horizontal="justify" vertical="center" wrapText="1"/>
    </xf>
    <xf numFmtId="4" fontId="21" fillId="0" borderId="68" xfId="2" applyNumberFormat="1" applyFont="1" applyFill="1" applyBorder="1" applyAlignment="1">
      <alignment horizontal="center"/>
    </xf>
    <xf numFmtId="3" fontId="17" fillId="0" borderId="68" xfId="2" applyNumberFormat="1" applyFont="1" applyFill="1" applyBorder="1" applyAlignment="1">
      <alignment horizontal="center" vertical="center"/>
    </xf>
    <xf numFmtId="4" fontId="17" fillId="0" borderId="68" xfId="2" applyNumberFormat="1" applyFont="1" applyFill="1" applyBorder="1"/>
    <xf numFmtId="4" fontId="17" fillId="0" borderId="69" xfId="2" applyNumberFormat="1" applyFont="1" applyFill="1" applyBorder="1"/>
    <xf numFmtId="4" fontId="17" fillId="0" borderId="73" xfId="2" applyNumberFormat="1" applyFont="1" applyFill="1" applyBorder="1"/>
    <xf numFmtId="4" fontId="17" fillId="0" borderId="9" xfId="2" applyNumberFormat="1" applyFont="1" applyFill="1" applyBorder="1"/>
    <xf numFmtId="4" fontId="17" fillId="0" borderId="74" xfId="2" applyNumberFormat="1" applyFont="1" applyFill="1" applyBorder="1"/>
    <xf numFmtId="3" fontId="21" fillId="0" borderId="75" xfId="3" applyNumberFormat="1" applyFont="1" applyFill="1" applyBorder="1" applyAlignment="1">
      <alignment horizontal="center" vertical="center" wrapText="1"/>
    </xf>
    <xf numFmtId="164" fontId="21" fillId="0" borderId="76" xfId="2" applyFont="1" applyFill="1" applyBorder="1"/>
    <xf numFmtId="3" fontId="17" fillId="0" borderId="76" xfId="2" applyNumberFormat="1" applyFont="1" applyFill="1" applyBorder="1"/>
    <xf numFmtId="3" fontId="17" fillId="0" borderId="76" xfId="2" applyNumberFormat="1" applyFont="1" applyFill="1" applyBorder="1" applyAlignment="1">
      <alignment horizontal="center" vertical="center"/>
    </xf>
    <xf numFmtId="3" fontId="17" fillId="0" borderId="79" xfId="2" applyNumberFormat="1" applyFont="1" applyFill="1" applyBorder="1"/>
    <xf numFmtId="3" fontId="21" fillId="0" borderId="0" xfId="3" applyNumberFormat="1" applyFont="1" applyFill="1" applyBorder="1" applyAlignment="1">
      <alignment horizontal="center" vertical="center" wrapText="1"/>
    </xf>
    <xf numFmtId="164" fontId="21" fillId="0" borderId="0" xfId="2" applyFont="1" applyFill="1" applyBorder="1"/>
    <xf numFmtId="3" fontId="17" fillId="0" borderId="0" xfId="2" applyNumberFormat="1" applyFont="1" applyFill="1" applyBorder="1"/>
    <xf numFmtId="3" fontId="17" fillId="0" borderId="0" xfId="2" applyNumberFormat="1" applyFont="1" applyFill="1" applyBorder="1" applyAlignment="1">
      <alignment horizontal="center" vertical="center"/>
    </xf>
    <xf numFmtId="4" fontId="17" fillId="0" borderId="0" xfId="2" applyNumberFormat="1" applyFont="1" applyFill="1" applyBorder="1" applyAlignment="1">
      <alignment horizontal="center"/>
    </xf>
    <xf numFmtId="9" fontId="17" fillId="0" borderId="0" xfId="1" applyFont="1" applyFill="1" applyBorder="1"/>
    <xf numFmtId="3" fontId="17" fillId="9" borderId="0" xfId="2" applyNumberFormat="1" applyFont="1" applyFill="1" applyBorder="1"/>
    <xf numFmtId="4" fontId="17" fillId="9" borderId="0" xfId="2" applyNumberFormat="1" applyFont="1" applyFill="1" applyBorder="1" applyAlignment="1">
      <alignment horizontal="center"/>
    </xf>
    <xf numFmtId="164" fontId="23" fillId="0" borderId="80" xfId="2" applyFont="1" applyFill="1" applyBorder="1" applyAlignment="1">
      <alignment horizontal="justify" vertical="center" wrapText="1"/>
    </xf>
    <xf numFmtId="164" fontId="17" fillId="5" borderId="0" xfId="2" applyFont="1" applyFill="1"/>
    <xf numFmtId="3" fontId="17" fillId="10" borderId="0" xfId="2" applyNumberFormat="1" applyFont="1" applyFill="1"/>
    <xf numFmtId="3" fontId="17" fillId="10" borderId="0" xfId="1" applyNumberFormat="1" applyFont="1" applyFill="1"/>
    <xf numFmtId="4" fontId="17" fillId="6" borderId="0" xfId="2" applyNumberFormat="1" applyFont="1" applyFill="1"/>
    <xf numFmtId="164" fontId="25" fillId="0" borderId="0" xfId="4" applyFont="1" applyFill="1" applyAlignment="1">
      <alignment horizontal="left" wrapText="1"/>
    </xf>
    <xf numFmtId="4" fontId="25" fillId="0" borderId="0" xfId="4" applyNumberFormat="1" applyFont="1" applyFill="1" applyAlignment="1">
      <alignment horizontal="right" wrapText="1"/>
    </xf>
    <xf numFmtId="3" fontId="18" fillId="3" borderId="0" xfId="2" applyNumberFormat="1" applyFont="1" applyFill="1"/>
    <xf numFmtId="164" fontId="17" fillId="9" borderId="0" xfId="2" applyFont="1" applyFill="1"/>
    <xf numFmtId="4" fontId="17" fillId="5" borderId="0" xfId="2" applyNumberFormat="1" applyFont="1" applyFill="1"/>
    <xf numFmtId="10" fontId="26" fillId="9" borderId="0" xfId="2" applyNumberFormat="1" applyFont="1" applyFill="1"/>
    <xf numFmtId="168" fontId="17" fillId="0" borderId="0" xfId="1" applyNumberFormat="1" applyFont="1"/>
    <xf numFmtId="10" fontId="22" fillId="0" borderId="0" xfId="2" applyNumberFormat="1" applyFont="1"/>
    <xf numFmtId="9" fontId="17" fillId="6" borderId="0" xfId="1" applyFont="1" applyFill="1"/>
    <xf numFmtId="4" fontId="17" fillId="8" borderId="0" xfId="2" applyNumberFormat="1" applyFont="1" applyFill="1"/>
    <xf numFmtId="4" fontId="17" fillId="8" borderId="0" xfId="1" applyNumberFormat="1" applyFont="1" applyFill="1"/>
    <xf numFmtId="9" fontId="17" fillId="8" borderId="0" xfId="1" applyFont="1" applyFill="1"/>
    <xf numFmtId="3" fontId="2" fillId="0" borderId="23" xfId="2" applyNumberFormat="1" applyFont="1" applyFill="1" applyBorder="1" applyProtection="1"/>
    <xf numFmtId="4" fontId="2" fillId="0" borderId="23" xfId="2" applyNumberFormat="1" applyFont="1" applyFill="1" applyBorder="1" applyProtection="1"/>
    <xf numFmtId="4" fontId="2" fillId="0" borderId="23" xfId="2" applyNumberFormat="1" applyFont="1" applyFill="1" applyBorder="1" applyProtection="1">
      <protection locked="0"/>
    </xf>
    <xf numFmtId="4" fontId="3" fillId="0" borderId="30" xfId="2" applyNumberFormat="1" applyFont="1" applyFill="1" applyBorder="1" applyProtection="1"/>
    <xf numFmtId="3" fontId="3" fillId="0" borderId="30" xfId="2" applyNumberFormat="1" applyFont="1" applyFill="1" applyBorder="1" applyProtection="1"/>
    <xf numFmtId="3" fontId="3" fillId="0" borderId="31" xfId="2" applyNumberFormat="1" applyFont="1" applyFill="1" applyBorder="1" applyProtection="1"/>
    <xf numFmtId="164" fontId="21" fillId="0" borderId="0" xfId="2" applyFont="1" applyFill="1" applyBorder="1" applyAlignment="1">
      <alignment horizontal="center" vertical="center"/>
    </xf>
    <xf numFmtId="3" fontId="17" fillId="5" borderId="0" xfId="2" applyNumberFormat="1" applyFont="1" applyFill="1" applyBorder="1" applyAlignment="1">
      <alignment horizontal="center" vertical="center"/>
    </xf>
    <xf numFmtId="4" fontId="17" fillId="5" borderId="0" xfId="2" applyNumberFormat="1" applyFont="1" applyFill="1" applyBorder="1" applyAlignment="1">
      <alignment horizontal="center" vertical="center" wrapText="1"/>
    </xf>
    <xf numFmtId="4" fontId="17" fillId="0" borderId="0" xfId="2" applyNumberFormat="1" applyFont="1" applyFill="1" applyBorder="1" applyAlignment="1">
      <alignment horizontal="center" vertical="center"/>
    </xf>
    <xf numFmtId="3" fontId="17" fillId="0" borderId="0" xfId="2" applyNumberFormat="1" applyFont="1" applyAlignment="1">
      <alignment horizontal="center" vertical="center"/>
    </xf>
    <xf numFmtId="164" fontId="17" fillId="0" borderId="0" xfId="2" applyFont="1" applyAlignment="1">
      <alignment horizontal="center" vertical="center"/>
    </xf>
    <xf numFmtId="10" fontId="18" fillId="5" borderId="0" xfId="1" applyNumberFormat="1" applyFont="1" applyFill="1"/>
    <xf numFmtId="164" fontId="8" fillId="0" borderId="21" xfId="3" applyFont="1" applyFill="1" applyBorder="1" applyAlignment="1" applyProtection="1">
      <alignment horizontal="justify" vertical="center" wrapText="1"/>
    </xf>
    <xf numFmtId="3" fontId="2" fillId="0" borderId="24" xfId="2" applyNumberFormat="1" applyFont="1" applyFill="1" applyBorder="1" applyProtection="1">
      <protection locked="0"/>
    </xf>
    <xf numFmtId="164" fontId="8" fillId="0" borderId="21" xfId="3" applyFont="1" applyFill="1" applyBorder="1" applyAlignment="1">
      <alignment horizontal="justify" vertical="center" wrapText="1"/>
    </xf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2" borderId="8" xfId="2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3" fontId="3" fillId="0" borderId="24" xfId="2" applyNumberFormat="1" applyFont="1" applyBorder="1" applyAlignment="1" applyProtection="1">
      <alignment horizontal="center"/>
    </xf>
    <xf numFmtId="3" fontId="3" fillId="0" borderId="25" xfId="2" applyNumberFormat="1" applyFont="1" applyBorder="1" applyAlignment="1" applyProtection="1">
      <alignment horizontal="center"/>
    </xf>
    <xf numFmtId="3" fontId="3" fillId="0" borderId="4" xfId="2" applyNumberFormat="1" applyFont="1" applyBorder="1" applyAlignment="1" applyProtection="1">
      <alignment horizontal="center"/>
    </xf>
    <xf numFmtId="3" fontId="3" fillId="0" borderId="5" xfId="2" applyNumberFormat="1" applyFont="1" applyBorder="1" applyAlignment="1" applyProtection="1">
      <alignment horizontal="center"/>
    </xf>
    <xf numFmtId="3" fontId="3" fillId="0" borderId="6" xfId="2" applyNumberFormat="1" applyFont="1" applyBorder="1" applyAlignment="1" applyProtection="1">
      <alignment horizontal="center"/>
    </xf>
    <xf numFmtId="3" fontId="3" fillId="0" borderId="39" xfId="2" applyNumberFormat="1" applyFont="1" applyFill="1" applyBorder="1" applyAlignment="1" applyProtection="1">
      <alignment horizontal="right"/>
    </xf>
    <xf numFmtId="3" fontId="3" fillId="0" borderId="40" xfId="2" applyNumberFormat="1" applyFont="1" applyFill="1" applyBorder="1" applyAlignment="1" applyProtection="1">
      <alignment horizontal="right"/>
    </xf>
    <xf numFmtId="3" fontId="3" fillId="0" borderId="41" xfId="2" applyNumberFormat="1" applyFont="1" applyFill="1" applyBorder="1" applyAlignment="1" applyProtection="1">
      <alignment horizontal="right"/>
    </xf>
    <xf numFmtId="164" fontId="21" fillId="0" borderId="61" xfId="3" applyFont="1" applyFill="1" applyBorder="1" applyAlignment="1">
      <alignment horizontal="center" vertical="center" wrapText="1"/>
    </xf>
    <xf numFmtId="164" fontId="21" fillId="0" borderId="62" xfId="3" applyFont="1" applyFill="1" applyBorder="1" applyAlignment="1">
      <alignment horizontal="center" vertical="center" wrapText="1"/>
    </xf>
    <xf numFmtId="164" fontId="21" fillId="0" borderId="63" xfId="3" applyFont="1" applyFill="1" applyBorder="1" applyAlignment="1">
      <alignment horizontal="center" vertical="center" wrapText="1"/>
    </xf>
    <xf numFmtId="3" fontId="21" fillId="0" borderId="61" xfId="3" applyNumberFormat="1" applyFont="1" applyFill="1" applyBorder="1" applyAlignment="1">
      <alignment horizontal="center" vertical="center" wrapText="1"/>
    </xf>
    <xf numFmtId="3" fontId="21" fillId="0" borderId="62" xfId="3" applyNumberFormat="1" applyFont="1" applyFill="1" applyBorder="1" applyAlignment="1">
      <alignment horizontal="center" vertical="center" wrapText="1"/>
    </xf>
    <xf numFmtId="3" fontId="21" fillId="0" borderId="63" xfId="3" applyNumberFormat="1" applyFont="1" applyFill="1" applyBorder="1" applyAlignment="1">
      <alignment horizontal="center" vertical="center" wrapText="1"/>
    </xf>
    <xf numFmtId="3" fontId="21" fillId="0" borderId="70" xfId="3" applyNumberFormat="1" applyFont="1" applyFill="1" applyBorder="1" applyAlignment="1">
      <alignment horizontal="center" vertical="center" wrapText="1"/>
    </xf>
    <xf numFmtId="3" fontId="21" fillId="0" borderId="71" xfId="3" applyNumberFormat="1" applyFont="1" applyFill="1" applyBorder="1" applyAlignment="1">
      <alignment horizontal="center" vertical="center" wrapText="1"/>
    </xf>
    <xf numFmtId="3" fontId="21" fillId="0" borderId="72" xfId="3" applyNumberFormat="1" applyFont="1" applyFill="1" applyBorder="1" applyAlignment="1">
      <alignment horizontal="center" vertical="center" wrapText="1"/>
    </xf>
    <xf numFmtId="4" fontId="17" fillId="0" borderId="77" xfId="2" applyNumberFormat="1" applyFont="1" applyFill="1" applyBorder="1" applyAlignment="1">
      <alignment horizontal="center"/>
    </xf>
    <xf numFmtId="4" fontId="17" fillId="0" borderId="78" xfId="2" applyNumberFormat="1" applyFont="1" applyFill="1" applyBorder="1" applyAlignment="1">
      <alignment horizontal="center"/>
    </xf>
    <xf numFmtId="3" fontId="21" fillId="0" borderId="24" xfId="2" applyNumberFormat="1" applyFont="1" applyBorder="1" applyAlignment="1">
      <alignment horizontal="center"/>
    </xf>
    <xf numFmtId="3" fontId="21" fillId="0" borderId="46" xfId="2" applyNumberFormat="1" applyFont="1" applyBorder="1" applyAlignment="1">
      <alignment horizontal="center"/>
    </xf>
    <xf numFmtId="3" fontId="21" fillId="0" borderId="45" xfId="2" applyNumberFormat="1" applyFont="1" applyBorder="1" applyAlignment="1">
      <alignment horizontal="center"/>
    </xf>
    <xf numFmtId="164" fontId="23" fillId="6" borderId="0" xfId="2" applyFont="1" applyFill="1" applyAlignment="1">
      <alignment horizontal="center"/>
    </xf>
    <xf numFmtId="3" fontId="21" fillId="8" borderId="0" xfId="2" applyNumberFormat="1" applyFont="1" applyFill="1" applyAlignment="1">
      <alignment horizontal="center"/>
    </xf>
    <xf numFmtId="3" fontId="21" fillId="0" borderId="0" xfId="2" applyNumberFormat="1" applyFont="1" applyAlignment="1">
      <alignment horizontal="center" vertical="center"/>
    </xf>
    <xf numFmtId="164" fontId="21" fillId="0" borderId="42" xfId="2" applyFont="1" applyBorder="1" applyAlignment="1">
      <alignment horizontal="center" vertical="center"/>
    </xf>
    <xf numFmtId="164" fontId="21" fillId="0" borderId="44" xfId="2" applyFont="1" applyBorder="1" applyAlignment="1">
      <alignment horizontal="center" vertical="center"/>
    </xf>
    <xf numFmtId="3" fontId="21" fillId="0" borderId="43" xfId="2" applyNumberFormat="1" applyFont="1" applyBorder="1" applyAlignment="1">
      <alignment horizontal="center" vertical="center"/>
    </xf>
    <xf numFmtId="3" fontId="21" fillId="0" borderId="17" xfId="2" applyNumberFormat="1" applyFont="1" applyBorder="1" applyAlignment="1">
      <alignment horizontal="center" vertical="center"/>
    </xf>
  </cellXfs>
  <cellStyles count="5">
    <cellStyle name="Normal" xfId="0" builtinId="0"/>
    <cellStyle name="Normal 14 5" xfId="4" xr:uid="{7D19E4F3-5867-4033-8BDB-B63A14EE536C}"/>
    <cellStyle name="Normal 2 2 2" xfId="2" xr:uid="{00000000-0005-0000-0000-000001000000}"/>
    <cellStyle name="Normal 2 9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Y103"/>
  <sheetViews>
    <sheetView tabSelected="1" topLeftCell="D13" zoomScale="110" zoomScaleNormal="110" workbookViewId="0">
      <selection activeCell="D50" sqref="D50"/>
    </sheetView>
  </sheetViews>
  <sheetFormatPr defaultColWidth="9" defaultRowHeight="12" customHeight="1" x14ac:dyDescent="0.3"/>
  <cols>
    <col min="1" max="1" width="46.88671875" style="1" customWidth="1"/>
    <col min="2" max="2" width="13.33203125" style="2" customWidth="1"/>
    <col min="3" max="25" width="11.109375" style="2" customWidth="1"/>
    <col min="26" max="213" width="9" style="1"/>
    <col min="214" max="214" width="35.33203125" style="1" customWidth="1"/>
    <col min="215" max="238" width="11.109375" style="1" customWidth="1"/>
    <col min="239" max="469" width="9" style="1"/>
    <col min="470" max="470" width="35.33203125" style="1" customWidth="1"/>
    <col min="471" max="494" width="11.109375" style="1" customWidth="1"/>
    <col min="495" max="725" width="9" style="1"/>
    <col min="726" max="726" width="35.33203125" style="1" customWidth="1"/>
    <col min="727" max="750" width="11.109375" style="1" customWidth="1"/>
    <col min="751" max="981" width="9" style="1"/>
    <col min="982" max="982" width="35.33203125" style="1" customWidth="1"/>
    <col min="983" max="1006" width="11.109375" style="1" customWidth="1"/>
    <col min="1007" max="1237" width="9" style="1"/>
    <col min="1238" max="1238" width="35.33203125" style="1" customWidth="1"/>
    <col min="1239" max="1262" width="11.109375" style="1" customWidth="1"/>
    <col min="1263" max="1493" width="9" style="1"/>
    <col min="1494" max="1494" width="35.33203125" style="1" customWidth="1"/>
    <col min="1495" max="1518" width="11.109375" style="1" customWidth="1"/>
    <col min="1519" max="1749" width="9" style="1"/>
    <col min="1750" max="1750" width="35.33203125" style="1" customWidth="1"/>
    <col min="1751" max="1774" width="11.109375" style="1" customWidth="1"/>
    <col min="1775" max="2005" width="9" style="1"/>
    <col min="2006" max="2006" width="35.33203125" style="1" customWidth="1"/>
    <col min="2007" max="2030" width="11.109375" style="1" customWidth="1"/>
    <col min="2031" max="2261" width="9" style="1"/>
    <col min="2262" max="2262" width="35.33203125" style="1" customWidth="1"/>
    <col min="2263" max="2286" width="11.109375" style="1" customWidth="1"/>
    <col min="2287" max="2517" width="9" style="1"/>
    <col min="2518" max="2518" width="35.33203125" style="1" customWidth="1"/>
    <col min="2519" max="2542" width="11.109375" style="1" customWidth="1"/>
    <col min="2543" max="2773" width="9" style="1"/>
    <col min="2774" max="2774" width="35.33203125" style="1" customWidth="1"/>
    <col min="2775" max="2798" width="11.109375" style="1" customWidth="1"/>
    <col min="2799" max="3029" width="9" style="1"/>
    <col min="3030" max="3030" width="35.33203125" style="1" customWidth="1"/>
    <col min="3031" max="3054" width="11.109375" style="1" customWidth="1"/>
    <col min="3055" max="3285" width="9" style="1"/>
    <col min="3286" max="3286" width="35.33203125" style="1" customWidth="1"/>
    <col min="3287" max="3310" width="11.109375" style="1" customWidth="1"/>
    <col min="3311" max="3541" width="9" style="1"/>
    <col min="3542" max="3542" width="35.33203125" style="1" customWidth="1"/>
    <col min="3543" max="3566" width="11.109375" style="1" customWidth="1"/>
    <col min="3567" max="3797" width="9" style="1"/>
    <col min="3798" max="3798" width="35.33203125" style="1" customWidth="1"/>
    <col min="3799" max="3822" width="11.109375" style="1" customWidth="1"/>
    <col min="3823" max="4053" width="9" style="1"/>
    <col min="4054" max="4054" width="35.33203125" style="1" customWidth="1"/>
    <col min="4055" max="4078" width="11.109375" style="1" customWidth="1"/>
    <col min="4079" max="4309" width="9" style="1"/>
    <col min="4310" max="4310" width="35.33203125" style="1" customWidth="1"/>
    <col min="4311" max="4334" width="11.109375" style="1" customWidth="1"/>
    <col min="4335" max="4565" width="9" style="1"/>
    <col min="4566" max="4566" width="35.33203125" style="1" customWidth="1"/>
    <col min="4567" max="4590" width="11.109375" style="1" customWidth="1"/>
    <col min="4591" max="4821" width="9" style="1"/>
    <col min="4822" max="4822" width="35.33203125" style="1" customWidth="1"/>
    <col min="4823" max="4846" width="11.109375" style="1" customWidth="1"/>
    <col min="4847" max="5077" width="9" style="1"/>
    <col min="5078" max="5078" width="35.33203125" style="1" customWidth="1"/>
    <col min="5079" max="5102" width="11.109375" style="1" customWidth="1"/>
    <col min="5103" max="5333" width="9" style="1"/>
    <col min="5334" max="5334" width="35.33203125" style="1" customWidth="1"/>
    <col min="5335" max="5358" width="11.109375" style="1" customWidth="1"/>
    <col min="5359" max="5589" width="9" style="1"/>
    <col min="5590" max="5590" width="35.33203125" style="1" customWidth="1"/>
    <col min="5591" max="5614" width="11.109375" style="1" customWidth="1"/>
    <col min="5615" max="5845" width="9" style="1"/>
    <col min="5846" max="5846" width="35.33203125" style="1" customWidth="1"/>
    <col min="5847" max="5870" width="11.109375" style="1" customWidth="1"/>
    <col min="5871" max="6101" width="9" style="1"/>
    <col min="6102" max="6102" width="35.33203125" style="1" customWidth="1"/>
    <col min="6103" max="6126" width="11.109375" style="1" customWidth="1"/>
    <col min="6127" max="6357" width="9" style="1"/>
    <col min="6358" max="6358" width="35.33203125" style="1" customWidth="1"/>
    <col min="6359" max="6382" width="11.109375" style="1" customWidth="1"/>
    <col min="6383" max="6613" width="9" style="1"/>
    <col min="6614" max="6614" width="35.33203125" style="1" customWidth="1"/>
    <col min="6615" max="6638" width="11.109375" style="1" customWidth="1"/>
    <col min="6639" max="6869" width="9" style="1"/>
    <col min="6870" max="6870" width="35.33203125" style="1" customWidth="1"/>
    <col min="6871" max="6894" width="11.109375" style="1" customWidth="1"/>
    <col min="6895" max="7125" width="9" style="1"/>
    <col min="7126" max="7126" width="35.33203125" style="1" customWidth="1"/>
    <col min="7127" max="7150" width="11.109375" style="1" customWidth="1"/>
    <col min="7151" max="7381" width="9" style="1"/>
    <col min="7382" max="7382" width="35.33203125" style="1" customWidth="1"/>
    <col min="7383" max="7406" width="11.109375" style="1" customWidth="1"/>
    <col min="7407" max="7637" width="9" style="1"/>
    <col min="7638" max="7638" width="35.33203125" style="1" customWidth="1"/>
    <col min="7639" max="7662" width="11.109375" style="1" customWidth="1"/>
    <col min="7663" max="7893" width="9" style="1"/>
    <col min="7894" max="7894" width="35.33203125" style="1" customWidth="1"/>
    <col min="7895" max="7918" width="11.109375" style="1" customWidth="1"/>
    <col min="7919" max="8149" width="9" style="1"/>
    <col min="8150" max="8150" width="35.33203125" style="1" customWidth="1"/>
    <col min="8151" max="8174" width="11.109375" style="1" customWidth="1"/>
    <col min="8175" max="8405" width="9" style="1"/>
    <col min="8406" max="8406" width="35.33203125" style="1" customWidth="1"/>
    <col min="8407" max="8430" width="11.109375" style="1" customWidth="1"/>
    <col min="8431" max="8661" width="9" style="1"/>
    <col min="8662" max="8662" width="35.33203125" style="1" customWidth="1"/>
    <col min="8663" max="8686" width="11.109375" style="1" customWidth="1"/>
    <col min="8687" max="8917" width="9" style="1"/>
    <col min="8918" max="8918" width="35.33203125" style="1" customWidth="1"/>
    <col min="8919" max="8942" width="11.109375" style="1" customWidth="1"/>
    <col min="8943" max="9173" width="9" style="1"/>
    <col min="9174" max="9174" width="35.33203125" style="1" customWidth="1"/>
    <col min="9175" max="9198" width="11.109375" style="1" customWidth="1"/>
    <col min="9199" max="9429" width="9" style="1"/>
    <col min="9430" max="9430" width="35.33203125" style="1" customWidth="1"/>
    <col min="9431" max="9454" width="11.109375" style="1" customWidth="1"/>
    <col min="9455" max="9685" width="9" style="1"/>
    <col min="9686" max="9686" width="35.33203125" style="1" customWidth="1"/>
    <col min="9687" max="9710" width="11.109375" style="1" customWidth="1"/>
    <col min="9711" max="9941" width="9" style="1"/>
    <col min="9942" max="9942" width="35.33203125" style="1" customWidth="1"/>
    <col min="9943" max="9966" width="11.109375" style="1" customWidth="1"/>
    <col min="9967" max="10197" width="9" style="1"/>
    <col min="10198" max="10198" width="35.33203125" style="1" customWidth="1"/>
    <col min="10199" max="10222" width="11.109375" style="1" customWidth="1"/>
    <col min="10223" max="10453" width="9" style="1"/>
    <col min="10454" max="10454" width="35.33203125" style="1" customWidth="1"/>
    <col min="10455" max="10478" width="11.109375" style="1" customWidth="1"/>
    <col min="10479" max="10709" width="9" style="1"/>
    <col min="10710" max="10710" width="35.33203125" style="1" customWidth="1"/>
    <col min="10711" max="10734" width="11.109375" style="1" customWidth="1"/>
    <col min="10735" max="10965" width="9" style="1"/>
    <col min="10966" max="10966" width="35.33203125" style="1" customWidth="1"/>
    <col min="10967" max="10990" width="11.109375" style="1" customWidth="1"/>
    <col min="10991" max="11221" width="9" style="1"/>
    <col min="11222" max="11222" width="35.33203125" style="1" customWidth="1"/>
    <col min="11223" max="11246" width="11.109375" style="1" customWidth="1"/>
    <col min="11247" max="11477" width="9" style="1"/>
    <col min="11478" max="11478" width="35.33203125" style="1" customWidth="1"/>
    <col min="11479" max="11502" width="11.109375" style="1" customWidth="1"/>
    <col min="11503" max="11733" width="9" style="1"/>
    <col min="11734" max="11734" width="35.33203125" style="1" customWidth="1"/>
    <col min="11735" max="11758" width="11.109375" style="1" customWidth="1"/>
    <col min="11759" max="11989" width="9" style="1"/>
    <col min="11990" max="11990" width="35.33203125" style="1" customWidth="1"/>
    <col min="11991" max="12014" width="11.109375" style="1" customWidth="1"/>
    <col min="12015" max="12245" width="9" style="1"/>
    <col min="12246" max="12246" width="35.33203125" style="1" customWidth="1"/>
    <col min="12247" max="12270" width="11.109375" style="1" customWidth="1"/>
    <col min="12271" max="12501" width="9" style="1"/>
    <col min="12502" max="12502" width="35.33203125" style="1" customWidth="1"/>
    <col min="12503" max="12526" width="11.109375" style="1" customWidth="1"/>
    <col min="12527" max="12757" width="9" style="1"/>
    <col min="12758" max="12758" width="35.33203125" style="1" customWidth="1"/>
    <col min="12759" max="12782" width="11.109375" style="1" customWidth="1"/>
    <col min="12783" max="13013" width="9" style="1"/>
    <col min="13014" max="13014" width="35.33203125" style="1" customWidth="1"/>
    <col min="13015" max="13038" width="11.109375" style="1" customWidth="1"/>
    <col min="13039" max="13269" width="9" style="1"/>
    <col min="13270" max="13270" width="35.33203125" style="1" customWidth="1"/>
    <col min="13271" max="13294" width="11.109375" style="1" customWidth="1"/>
    <col min="13295" max="13525" width="9" style="1"/>
    <col min="13526" max="13526" width="35.33203125" style="1" customWidth="1"/>
    <col min="13527" max="13550" width="11.109375" style="1" customWidth="1"/>
    <col min="13551" max="13781" width="9" style="1"/>
    <col min="13782" max="13782" width="35.33203125" style="1" customWidth="1"/>
    <col min="13783" max="13806" width="11.109375" style="1" customWidth="1"/>
    <col min="13807" max="14037" width="9" style="1"/>
    <col min="14038" max="14038" width="35.33203125" style="1" customWidth="1"/>
    <col min="14039" max="14062" width="11.109375" style="1" customWidth="1"/>
    <col min="14063" max="14293" width="9" style="1"/>
    <col min="14294" max="14294" width="35.33203125" style="1" customWidth="1"/>
    <col min="14295" max="14318" width="11.109375" style="1" customWidth="1"/>
    <col min="14319" max="14549" width="9" style="1"/>
    <col min="14550" max="14550" width="35.33203125" style="1" customWidth="1"/>
    <col min="14551" max="14574" width="11.109375" style="1" customWidth="1"/>
    <col min="14575" max="14805" width="9" style="1"/>
    <col min="14806" max="14806" width="35.33203125" style="1" customWidth="1"/>
    <col min="14807" max="14830" width="11.109375" style="1" customWidth="1"/>
    <col min="14831" max="15061" width="9" style="1"/>
    <col min="15062" max="15062" width="35.33203125" style="1" customWidth="1"/>
    <col min="15063" max="15086" width="11.109375" style="1" customWidth="1"/>
    <col min="15087" max="15317" width="9" style="1"/>
    <col min="15318" max="15318" width="35.33203125" style="1" customWidth="1"/>
    <col min="15319" max="15342" width="11.109375" style="1" customWidth="1"/>
    <col min="15343" max="15573" width="9" style="1"/>
    <col min="15574" max="15574" width="35.33203125" style="1" customWidth="1"/>
    <col min="15575" max="15598" width="11.109375" style="1" customWidth="1"/>
    <col min="15599" max="15829" width="9" style="1"/>
    <col min="15830" max="15830" width="35.33203125" style="1" customWidth="1"/>
    <col min="15831" max="15854" width="11.109375" style="1" customWidth="1"/>
    <col min="15855" max="16085" width="9" style="1"/>
    <col min="16086" max="16086" width="35.33203125" style="1" customWidth="1"/>
    <col min="16087" max="16110" width="11.109375" style="1" customWidth="1"/>
    <col min="16111" max="16384" width="9" style="1"/>
  </cols>
  <sheetData>
    <row r="1" spans="1:25" ht="12" customHeight="1" x14ac:dyDescent="0.3">
      <c r="A1" s="51" t="s">
        <v>186</v>
      </c>
    </row>
    <row r="2" spans="1:25" ht="12" customHeight="1" thickBot="1" x14ac:dyDescent="0.35"/>
    <row r="3" spans="1:25" ht="12" customHeight="1" thickTop="1" x14ac:dyDescent="0.3">
      <c r="B3" s="193" t="s">
        <v>188</v>
      </c>
      <c r="C3" s="194"/>
      <c r="D3" s="194"/>
      <c r="E3" s="195"/>
      <c r="F3" s="193" t="s">
        <v>187</v>
      </c>
      <c r="G3" s="194"/>
      <c r="H3" s="194"/>
      <c r="I3" s="195"/>
      <c r="J3" s="193" t="s">
        <v>189</v>
      </c>
      <c r="K3" s="194"/>
      <c r="L3" s="194"/>
      <c r="M3" s="195"/>
      <c r="N3" s="193" t="s">
        <v>190</v>
      </c>
      <c r="O3" s="194"/>
      <c r="P3" s="194"/>
      <c r="Q3" s="195"/>
      <c r="R3" s="193" t="s">
        <v>191</v>
      </c>
      <c r="S3" s="194"/>
      <c r="T3" s="194"/>
      <c r="U3" s="195"/>
      <c r="V3" s="193" t="s">
        <v>192</v>
      </c>
      <c r="W3" s="194"/>
      <c r="X3" s="194"/>
      <c r="Y3" s="195"/>
    </row>
    <row r="4" spans="1:25" s="2" customFormat="1" ht="12" customHeight="1" x14ac:dyDescent="0.3">
      <c r="A4" s="3" t="s">
        <v>0</v>
      </c>
      <c r="B4" s="204">
        <f>+' Tarife an Tr'!D3</f>
        <v>2005006.8451680208</v>
      </c>
      <c r="C4" s="205"/>
      <c r="D4" s="205"/>
      <c r="E4" s="206"/>
      <c r="F4" s="196"/>
      <c r="G4" s="197"/>
      <c r="H4" s="197"/>
      <c r="I4" s="198"/>
      <c r="J4" s="196"/>
      <c r="K4" s="197"/>
      <c r="L4" s="197"/>
      <c r="M4" s="198"/>
      <c r="N4" s="196"/>
      <c r="O4" s="197"/>
      <c r="P4" s="197"/>
      <c r="Q4" s="198"/>
      <c r="R4" s="196"/>
      <c r="S4" s="197"/>
      <c r="T4" s="197"/>
      <c r="U4" s="198"/>
      <c r="V4" s="196"/>
      <c r="W4" s="197"/>
      <c r="X4" s="197"/>
      <c r="Y4" s="198"/>
    </row>
    <row r="5" spans="1:25" s="2" customFormat="1" ht="12" customHeight="1" x14ac:dyDescent="0.3">
      <c r="A5" s="4" t="s">
        <v>1</v>
      </c>
      <c r="B5" s="5"/>
      <c r="C5" s="6"/>
      <c r="D5" s="7">
        <f>+B4*D6*D7</f>
        <v>852127.90919640881</v>
      </c>
      <c r="E5" s="8">
        <f>+B4*E6*E7</f>
        <v>852127.90919640881</v>
      </c>
      <c r="F5" s="9"/>
      <c r="G5" s="10"/>
      <c r="H5" s="7">
        <f>+F4*H6*H7</f>
        <v>0</v>
      </c>
      <c r="I5" s="8">
        <f>+F4*I6*I7</f>
        <v>0</v>
      </c>
      <c r="J5" s="9"/>
      <c r="K5" s="10"/>
      <c r="L5" s="7">
        <f>+J4*L6*L7</f>
        <v>0</v>
      </c>
      <c r="M5" s="8">
        <f>+J4*M6*M7</f>
        <v>0</v>
      </c>
      <c r="N5" s="9"/>
      <c r="O5" s="10"/>
      <c r="P5" s="7">
        <f>+N4*P6*P7</f>
        <v>0</v>
      </c>
      <c r="Q5" s="8">
        <f>+N4*Q6*Q7</f>
        <v>0</v>
      </c>
      <c r="R5" s="9"/>
      <c r="S5" s="10"/>
      <c r="T5" s="7">
        <f>+R4*T6*T7</f>
        <v>0</v>
      </c>
      <c r="U5" s="8">
        <f>+R4*U6*U7</f>
        <v>0</v>
      </c>
      <c r="V5" s="9"/>
      <c r="W5" s="10"/>
      <c r="X5" s="7">
        <f>+V4*X6*X7</f>
        <v>0</v>
      </c>
      <c r="Y5" s="8">
        <f>+V4*Y6*Y7</f>
        <v>0</v>
      </c>
    </row>
    <row r="6" spans="1:25" s="2" customFormat="1" ht="12" customHeight="1" x14ac:dyDescent="0.3">
      <c r="A6" s="4" t="s">
        <v>2</v>
      </c>
      <c r="B6" s="5"/>
      <c r="C6" s="6"/>
      <c r="D6" s="11">
        <v>0.85</v>
      </c>
      <c r="E6" s="12">
        <f>D6</f>
        <v>0.85</v>
      </c>
      <c r="F6" s="5"/>
      <c r="G6" s="6"/>
      <c r="H6" s="11">
        <v>0.85</v>
      </c>
      <c r="I6" s="11">
        <v>0.85</v>
      </c>
      <c r="J6" s="5"/>
      <c r="K6" s="6"/>
      <c r="L6" s="11">
        <v>0.85</v>
      </c>
      <c r="M6" s="11">
        <v>0.85</v>
      </c>
      <c r="N6" s="5"/>
      <c r="O6" s="6"/>
      <c r="P6" s="11">
        <v>0.85</v>
      </c>
      <c r="Q6" s="11">
        <v>0.85</v>
      </c>
      <c r="R6" s="5"/>
      <c r="S6" s="6"/>
      <c r="T6" s="11">
        <v>0.85</v>
      </c>
      <c r="U6" s="11">
        <v>0.85</v>
      </c>
      <c r="V6" s="5"/>
      <c r="W6" s="6"/>
      <c r="X6" s="11">
        <v>0.85</v>
      </c>
      <c r="Y6" s="11">
        <v>0.85</v>
      </c>
    </row>
    <row r="7" spans="1:25" s="2" customFormat="1" ht="12" customHeight="1" thickBot="1" x14ac:dyDescent="0.35">
      <c r="A7" s="13" t="s">
        <v>3</v>
      </c>
      <c r="B7" s="14"/>
      <c r="C7" s="15"/>
      <c r="D7" s="16">
        <v>0.5</v>
      </c>
      <c r="E7" s="17">
        <v>0.5</v>
      </c>
      <c r="F7" s="14"/>
      <c r="G7" s="15"/>
      <c r="H7" s="16">
        <v>0.5</v>
      </c>
      <c r="I7" s="17">
        <v>0.5</v>
      </c>
      <c r="J7" s="14"/>
      <c r="K7" s="15"/>
      <c r="L7" s="16">
        <v>0.5</v>
      </c>
      <c r="M7" s="17">
        <v>0.5</v>
      </c>
      <c r="N7" s="14"/>
      <c r="O7" s="15"/>
      <c r="P7" s="16">
        <v>0.5</v>
      </c>
      <c r="Q7" s="17">
        <v>0.5</v>
      </c>
      <c r="R7" s="14"/>
      <c r="S7" s="15"/>
      <c r="T7" s="16">
        <v>0.5</v>
      </c>
      <c r="U7" s="17">
        <v>0.5</v>
      </c>
      <c r="V7" s="14"/>
      <c r="W7" s="15"/>
      <c r="X7" s="16">
        <v>0.5</v>
      </c>
      <c r="Y7" s="17">
        <v>0.5</v>
      </c>
    </row>
    <row r="8" spans="1:25" s="2" customFormat="1" ht="24" customHeight="1" thickTop="1" x14ac:dyDescent="0.3">
      <c r="A8" s="18" t="s">
        <v>4</v>
      </c>
      <c r="B8" s="19"/>
      <c r="C8" s="20"/>
      <c r="D8" s="21" t="s">
        <v>5</v>
      </c>
      <c r="E8" s="22" t="s">
        <v>6</v>
      </c>
      <c r="F8" s="19"/>
      <c r="G8" s="20"/>
      <c r="H8" s="23" t="s">
        <v>5</v>
      </c>
      <c r="I8" s="24" t="s">
        <v>6</v>
      </c>
      <c r="J8" s="19"/>
      <c r="K8" s="20"/>
      <c r="L8" s="23" t="s">
        <v>5</v>
      </c>
      <c r="M8" s="24" t="s">
        <v>6</v>
      </c>
      <c r="N8" s="19"/>
      <c r="O8" s="20"/>
      <c r="P8" s="23" t="s">
        <v>5</v>
      </c>
      <c r="Q8" s="24" t="s">
        <v>6</v>
      </c>
      <c r="R8" s="19"/>
      <c r="S8" s="20"/>
      <c r="T8" s="23" t="s">
        <v>5</v>
      </c>
      <c r="U8" s="24" t="s">
        <v>6</v>
      </c>
      <c r="V8" s="19"/>
      <c r="W8" s="20"/>
      <c r="X8" s="23" t="s">
        <v>5</v>
      </c>
      <c r="Y8" s="24" t="s">
        <v>6</v>
      </c>
    </row>
    <row r="9" spans="1:25" s="2" customFormat="1" ht="12" customHeight="1" x14ac:dyDescent="0.3">
      <c r="A9" s="25" t="s">
        <v>7</v>
      </c>
      <c r="B9" s="26" t="s">
        <v>8</v>
      </c>
      <c r="C9" s="27" t="s">
        <v>9</v>
      </c>
      <c r="D9" s="199" t="s">
        <v>10</v>
      </c>
      <c r="E9" s="200"/>
      <c r="F9" s="26" t="s">
        <v>8</v>
      </c>
      <c r="G9" s="27" t="s">
        <v>9</v>
      </c>
      <c r="H9" s="199" t="s">
        <v>10</v>
      </c>
      <c r="I9" s="200"/>
      <c r="J9" s="26" t="s">
        <v>8</v>
      </c>
      <c r="K9" s="27" t="s">
        <v>9</v>
      </c>
      <c r="L9" s="199" t="s">
        <v>10</v>
      </c>
      <c r="M9" s="200"/>
      <c r="N9" s="26" t="s">
        <v>8</v>
      </c>
      <c r="O9" s="27" t="s">
        <v>9</v>
      </c>
      <c r="P9" s="199" t="s">
        <v>10</v>
      </c>
      <c r="Q9" s="200"/>
      <c r="R9" s="26" t="s">
        <v>8</v>
      </c>
      <c r="S9" s="27" t="s">
        <v>9</v>
      </c>
      <c r="T9" s="199" t="s">
        <v>10</v>
      </c>
      <c r="U9" s="200"/>
      <c r="V9" s="26" t="s">
        <v>8</v>
      </c>
      <c r="W9" s="27" t="s">
        <v>9</v>
      </c>
      <c r="X9" s="199" t="s">
        <v>10</v>
      </c>
      <c r="Y9" s="200"/>
    </row>
    <row r="10" spans="1:25" s="2" customFormat="1" ht="12" customHeight="1" x14ac:dyDescent="0.3">
      <c r="A10" s="28" t="s">
        <v>11</v>
      </c>
      <c r="B10" s="29">
        <v>8760</v>
      </c>
      <c r="C10" s="177">
        <v>1</v>
      </c>
      <c r="D10" s="56">
        <v>12508.333333333332</v>
      </c>
      <c r="E10" s="56">
        <v>12320.833333333334</v>
      </c>
      <c r="F10" s="29">
        <v>8760</v>
      </c>
      <c r="G10" s="30"/>
      <c r="H10" s="30"/>
      <c r="I10" s="31"/>
      <c r="J10" s="29">
        <v>8760</v>
      </c>
      <c r="K10" s="30"/>
      <c r="L10" s="30"/>
      <c r="M10" s="31"/>
      <c r="N10" s="29">
        <v>8784</v>
      </c>
      <c r="O10" s="30"/>
      <c r="P10" s="30"/>
      <c r="Q10" s="31"/>
      <c r="R10" s="29">
        <v>8760</v>
      </c>
      <c r="S10" s="30"/>
      <c r="T10" s="30"/>
      <c r="U10" s="31"/>
      <c r="V10" s="29">
        <v>8760</v>
      </c>
      <c r="W10" s="30"/>
      <c r="X10" s="30"/>
      <c r="Y10" s="31"/>
    </row>
    <row r="11" spans="1:25" s="2" customFormat="1" ht="12" customHeight="1" x14ac:dyDescent="0.3">
      <c r="A11" s="28" t="s">
        <v>12</v>
      </c>
      <c r="B11" s="29">
        <v>8760</v>
      </c>
      <c r="C11" s="178">
        <v>0.5</v>
      </c>
      <c r="D11" s="56">
        <v>45.833333333333336</v>
      </c>
      <c r="E11" s="56"/>
      <c r="F11" s="29">
        <v>8760</v>
      </c>
      <c r="G11" s="30"/>
      <c r="H11" s="30"/>
      <c r="I11" s="31"/>
      <c r="J11" s="29">
        <v>8760</v>
      </c>
      <c r="K11" s="30"/>
      <c r="L11" s="30"/>
      <c r="M11" s="31"/>
      <c r="N11" s="29">
        <v>8760</v>
      </c>
      <c r="O11" s="30"/>
      <c r="P11" s="30"/>
      <c r="Q11" s="31"/>
      <c r="R11" s="29">
        <v>8760</v>
      </c>
      <c r="S11" s="30"/>
      <c r="T11" s="30"/>
      <c r="U11" s="31"/>
      <c r="V11" s="29">
        <v>8760</v>
      </c>
      <c r="W11" s="30"/>
      <c r="X11" s="30"/>
      <c r="Y11" s="31"/>
    </row>
    <row r="12" spans="1:25" s="2" customFormat="1" ht="12" customHeight="1" x14ac:dyDescent="0.3">
      <c r="A12" s="28" t="s">
        <v>13</v>
      </c>
      <c r="B12" s="29">
        <v>8760</v>
      </c>
      <c r="C12" s="178">
        <v>0.5</v>
      </c>
      <c r="D12" s="56"/>
      <c r="E12" s="56">
        <v>12.5</v>
      </c>
      <c r="F12" s="29">
        <v>8760</v>
      </c>
      <c r="G12" s="30"/>
      <c r="H12" s="30"/>
      <c r="I12" s="31"/>
      <c r="J12" s="29">
        <v>8760</v>
      </c>
      <c r="K12" s="30"/>
      <c r="L12" s="30"/>
      <c r="M12" s="31"/>
      <c r="N12" s="29">
        <v>8760</v>
      </c>
      <c r="O12" s="30"/>
      <c r="P12" s="30"/>
      <c r="Q12" s="31"/>
      <c r="R12" s="29">
        <v>8760</v>
      </c>
      <c r="S12" s="30"/>
      <c r="T12" s="30"/>
      <c r="U12" s="31"/>
      <c r="V12" s="29">
        <v>8760</v>
      </c>
      <c r="W12" s="30"/>
      <c r="X12" s="30"/>
      <c r="Y12" s="31"/>
    </row>
    <row r="13" spans="1:25" s="2" customFormat="1" ht="12" customHeight="1" x14ac:dyDescent="0.3">
      <c r="A13" s="192" t="s">
        <v>199</v>
      </c>
      <c r="B13" s="29"/>
      <c r="C13" s="177"/>
      <c r="D13" s="56"/>
      <c r="E13" s="191"/>
      <c r="F13" s="29"/>
      <c r="G13" s="30"/>
      <c r="H13" s="30"/>
      <c r="I13" s="31"/>
      <c r="J13" s="29"/>
      <c r="K13" s="30"/>
      <c r="L13" s="30"/>
      <c r="M13" s="31"/>
      <c r="N13" s="29"/>
      <c r="O13" s="30"/>
      <c r="P13" s="30"/>
      <c r="Q13" s="31"/>
      <c r="R13" s="29"/>
      <c r="S13" s="30"/>
      <c r="T13" s="30"/>
      <c r="U13" s="31"/>
      <c r="V13" s="29"/>
      <c r="W13" s="30"/>
      <c r="X13" s="30"/>
      <c r="Y13" s="31"/>
    </row>
    <row r="14" spans="1:25" s="2" customFormat="1" ht="12" customHeight="1" x14ac:dyDescent="0.3">
      <c r="A14" s="28" t="s">
        <v>201</v>
      </c>
      <c r="B14" s="29">
        <v>2184</v>
      </c>
      <c r="C14" s="178">
        <v>0.92</v>
      </c>
      <c r="D14" s="178">
        <v>122.91666666666667</v>
      </c>
      <c r="E14" s="178">
        <v>579.16666666666674</v>
      </c>
      <c r="F14" s="29">
        <v>2184</v>
      </c>
      <c r="G14" s="30"/>
      <c r="H14" s="30"/>
      <c r="I14" s="31"/>
      <c r="J14" s="29">
        <v>2184</v>
      </c>
      <c r="K14" s="30"/>
      <c r="L14" s="30"/>
      <c r="M14" s="31"/>
      <c r="N14" s="29">
        <v>2184</v>
      </c>
      <c r="O14" s="30"/>
      <c r="P14" s="30"/>
      <c r="Q14" s="31"/>
      <c r="R14" s="29">
        <v>2184</v>
      </c>
      <c r="S14" s="30"/>
      <c r="T14" s="30"/>
      <c r="U14" s="31"/>
      <c r="V14" s="29">
        <v>2184</v>
      </c>
      <c r="W14" s="30"/>
      <c r="X14" s="30"/>
      <c r="Y14" s="31"/>
    </row>
    <row r="15" spans="1:25" s="2" customFormat="1" ht="12" customHeight="1" x14ac:dyDescent="0.3">
      <c r="A15" s="28" t="s">
        <v>202</v>
      </c>
      <c r="B15" s="29">
        <v>2208</v>
      </c>
      <c r="C15" s="179">
        <v>0.87</v>
      </c>
      <c r="D15" s="56">
        <v>460.41666666666669</v>
      </c>
      <c r="E15" s="56">
        <v>733.33333333333303</v>
      </c>
      <c r="F15" s="29">
        <v>2208</v>
      </c>
      <c r="G15" s="30"/>
      <c r="H15" s="30"/>
      <c r="I15" s="31"/>
      <c r="J15" s="29">
        <v>2208</v>
      </c>
      <c r="K15" s="30"/>
      <c r="L15" s="30"/>
      <c r="M15" s="31"/>
      <c r="N15" s="29">
        <v>2208</v>
      </c>
      <c r="O15" s="30"/>
      <c r="P15" s="30"/>
      <c r="Q15" s="31"/>
      <c r="R15" s="29">
        <v>2208</v>
      </c>
      <c r="S15" s="30"/>
      <c r="T15" s="30"/>
      <c r="U15" s="31"/>
      <c r="V15" s="29">
        <v>2208</v>
      </c>
      <c r="W15" s="30"/>
      <c r="X15" s="30"/>
      <c r="Y15" s="31"/>
    </row>
    <row r="16" spans="1:25" s="2" customFormat="1" ht="12" customHeight="1" x14ac:dyDescent="0.3">
      <c r="A16" s="28" t="s">
        <v>203</v>
      </c>
      <c r="B16" s="29">
        <v>2208</v>
      </c>
      <c r="C16" s="178">
        <v>1.48</v>
      </c>
      <c r="D16" s="178">
        <v>616.66666666666674</v>
      </c>
      <c r="E16" s="178">
        <v>3141.6666666666665</v>
      </c>
      <c r="F16" s="29">
        <v>2208</v>
      </c>
      <c r="G16" s="30"/>
      <c r="H16" s="30"/>
      <c r="I16" s="31"/>
      <c r="J16" s="29">
        <v>2208</v>
      </c>
      <c r="K16" s="30"/>
      <c r="L16" s="30"/>
      <c r="M16" s="31"/>
      <c r="N16" s="29">
        <v>2208</v>
      </c>
      <c r="O16" s="30"/>
      <c r="P16" s="30"/>
      <c r="Q16" s="31"/>
      <c r="R16" s="29">
        <v>2208</v>
      </c>
      <c r="S16" s="30"/>
      <c r="T16" s="30"/>
      <c r="U16" s="31"/>
      <c r="V16" s="29">
        <v>2208</v>
      </c>
      <c r="W16" s="30"/>
      <c r="X16" s="30"/>
      <c r="Y16" s="31"/>
    </row>
    <row r="17" spans="1:25" s="2" customFormat="1" ht="12" customHeight="1" x14ac:dyDescent="0.3">
      <c r="A17" s="28" t="s">
        <v>204</v>
      </c>
      <c r="B17" s="29">
        <v>2160</v>
      </c>
      <c r="C17" s="179">
        <v>1.93</v>
      </c>
      <c r="D17" s="56">
        <v>1266.6666666666661</v>
      </c>
      <c r="E17" s="56">
        <v>9000</v>
      </c>
      <c r="F17" s="29">
        <v>2160</v>
      </c>
      <c r="G17" s="30"/>
      <c r="H17" s="30"/>
      <c r="I17" s="31"/>
      <c r="J17" s="29">
        <v>2160</v>
      </c>
      <c r="K17" s="30"/>
      <c r="L17" s="30"/>
      <c r="M17" s="31"/>
      <c r="N17" s="29">
        <v>2184</v>
      </c>
      <c r="O17" s="30"/>
      <c r="P17" s="30"/>
      <c r="Q17" s="31"/>
      <c r="R17" s="29">
        <v>2160</v>
      </c>
      <c r="S17" s="30"/>
      <c r="T17" s="30"/>
      <c r="U17" s="31"/>
      <c r="V17" s="29">
        <v>2160</v>
      </c>
      <c r="W17" s="30"/>
      <c r="X17" s="30"/>
      <c r="Y17" s="31"/>
    </row>
    <row r="18" spans="1:25" s="2" customFormat="1" ht="12" customHeight="1" x14ac:dyDescent="0.3">
      <c r="A18" s="28" t="s">
        <v>15</v>
      </c>
      <c r="B18" s="29">
        <v>720</v>
      </c>
      <c r="C18" s="178">
        <v>1.29</v>
      </c>
      <c r="D18" s="178">
        <v>2070.833333333333</v>
      </c>
      <c r="E18" s="178">
        <v>2387.5000000000005</v>
      </c>
      <c r="F18" s="29">
        <v>720</v>
      </c>
      <c r="G18" s="30"/>
      <c r="H18" s="30"/>
      <c r="I18" s="31"/>
      <c r="J18" s="29">
        <v>720</v>
      </c>
      <c r="K18" s="30"/>
      <c r="L18" s="30"/>
      <c r="M18" s="31"/>
      <c r="N18" s="29">
        <v>720</v>
      </c>
      <c r="O18" s="30"/>
      <c r="P18" s="30"/>
      <c r="Q18" s="31"/>
      <c r="R18" s="29">
        <v>720</v>
      </c>
      <c r="S18" s="30"/>
      <c r="T18" s="30"/>
      <c r="U18" s="31"/>
      <c r="V18" s="29">
        <v>720</v>
      </c>
      <c r="W18" s="30"/>
      <c r="X18" s="30"/>
      <c r="Y18" s="31"/>
    </row>
    <row r="19" spans="1:25" s="2" customFormat="1" ht="12" customHeight="1" x14ac:dyDescent="0.3">
      <c r="A19" s="28" t="s">
        <v>17</v>
      </c>
      <c r="B19" s="29">
        <v>744</v>
      </c>
      <c r="C19" s="179">
        <v>1.0900000000000001</v>
      </c>
      <c r="D19" s="56">
        <v>2597.9166666666665</v>
      </c>
      <c r="E19" s="56">
        <v>883.33333333333303</v>
      </c>
      <c r="F19" s="29">
        <v>744</v>
      </c>
      <c r="G19" s="30"/>
      <c r="H19" s="30"/>
      <c r="I19" s="31"/>
      <c r="J19" s="29">
        <v>744</v>
      </c>
      <c r="K19" s="30"/>
      <c r="L19" s="30"/>
      <c r="M19" s="31"/>
      <c r="N19" s="29">
        <v>744</v>
      </c>
      <c r="O19" s="30"/>
      <c r="P19" s="30"/>
      <c r="Q19" s="31"/>
      <c r="R19" s="29">
        <v>744</v>
      </c>
      <c r="S19" s="30"/>
      <c r="T19" s="30"/>
      <c r="U19" s="31"/>
      <c r="V19" s="29">
        <v>744</v>
      </c>
      <c r="W19" s="30"/>
      <c r="X19" s="30"/>
      <c r="Y19" s="31"/>
    </row>
    <row r="20" spans="1:25" s="2" customFormat="1" ht="12" customHeight="1" x14ac:dyDescent="0.3">
      <c r="A20" s="28" t="s">
        <v>19</v>
      </c>
      <c r="B20" s="29">
        <v>720</v>
      </c>
      <c r="C20" s="178">
        <v>0.79</v>
      </c>
      <c r="D20" s="178">
        <v>2562.5</v>
      </c>
      <c r="E20" s="178">
        <v>604.16666666666697</v>
      </c>
      <c r="F20" s="29">
        <v>720</v>
      </c>
      <c r="G20" s="30"/>
      <c r="H20" s="30"/>
      <c r="I20" s="31"/>
      <c r="J20" s="29">
        <v>720</v>
      </c>
      <c r="K20" s="30"/>
      <c r="L20" s="30"/>
      <c r="M20" s="31"/>
      <c r="N20" s="29">
        <v>720</v>
      </c>
      <c r="O20" s="30"/>
      <c r="P20" s="30"/>
      <c r="Q20" s="31"/>
      <c r="R20" s="29">
        <v>720</v>
      </c>
      <c r="S20" s="30"/>
      <c r="T20" s="30"/>
      <c r="U20" s="31"/>
      <c r="V20" s="29">
        <v>720</v>
      </c>
      <c r="W20" s="30"/>
      <c r="X20" s="30"/>
      <c r="Y20" s="31"/>
    </row>
    <row r="21" spans="1:25" s="2" customFormat="1" ht="12" customHeight="1" x14ac:dyDescent="0.3">
      <c r="A21" s="28" t="s">
        <v>21</v>
      </c>
      <c r="B21" s="29">
        <v>744</v>
      </c>
      <c r="C21" s="179">
        <v>0.96</v>
      </c>
      <c r="D21" s="56">
        <v>4458.333333333333</v>
      </c>
      <c r="E21" s="56">
        <v>779.16666666666663</v>
      </c>
      <c r="F21" s="29">
        <v>744</v>
      </c>
      <c r="G21" s="30"/>
      <c r="H21" s="30"/>
      <c r="I21" s="31"/>
      <c r="J21" s="29">
        <v>744</v>
      </c>
      <c r="K21" s="30"/>
      <c r="L21" s="30"/>
      <c r="M21" s="31"/>
      <c r="N21" s="29">
        <v>744</v>
      </c>
      <c r="O21" s="30"/>
      <c r="P21" s="30"/>
      <c r="Q21" s="31"/>
      <c r="R21" s="29">
        <v>744</v>
      </c>
      <c r="S21" s="30"/>
      <c r="T21" s="30"/>
      <c r="U21" s="31"/>
      <c r="V21" s="29">
        <v>744</v>
      </c>
      <c r="W21" s="30"/>
      <c r="X21" s="30"/>
      <c r="Y21" s="31"/>
    </row>
    <row r="22" spans="1:25" s="2" customFormat="1" ht="12" customHeight="1" x14ac:dyDescent="0.3">
      <c r="A22" s="28" t="s">
        <v>23</v>
      </c>
      <c r="B22" s="29">
        <v>744</v>
      </c>
      <c r="C22" s="178">
        <v>1.1399999999999999</v>
      </c>
      <c r="D22" s="178">
        <v>4629.166666666667</v>
      </c>
      <c r="E22" s="178">
        <v>1904.1666666666667</v>
      </c>
      <c r="F22" s="29">
        <v>744</v>
      </c>
      <c r="G22" s="30"/>
      <c r="H22" s="30"/>
      <c r="I22" s="31"/>
      <c r="J22" s="29">
        <v>744</v>
      </c>
      <c r="K22" s="30"/>
      <c r="L22" s="30"/>
      <c r="M22" s="31"/>
      <c r="N22" s="29">
        <v>744</v>
      </c>
      <c r="O22" s="30"/>
      <c r="P22" s="30"/>
      <c r="Q22" s="31"/>
      <c r="R22" s="29">
        <v>744</v>
      </c>
      <c r="S22" s="30"/>
      <c r="T22" s="30"/>
      <c r="U22" s="31"/>
      <c r="V22" s="29">
        <v>744</v>
      </c>
      <c r="W22" s="30"/>
      <c r="X22" s="30"/>
      <c r="Y22" s="31"/>
    </row>
    <row r="23" spans="1:25" s="2" customFormat="1" ht="12" customHeight="1" x14ac:dyDescent="0.3">
      <c r="A23" s="28" t="s">
        <v>24</v>
      </c>
      <c r="B23" s="29">
        <v>720</v>
      </c>
      <c r="C23" s="179">
        <v>0.92</v>
      </c>
      <c r="D23" s="56">
        <v>3731.25</v>
      </c>
      <c r="E23" s="56">
        <v>866.66666666666674</v>
      </c>
      <c r="F23" s="29">
        <v>720</v>
      </c>
      <c r="G23" s="30"/>
      <c r="H23" s="30"/>
      <c r="I23" s="31"/>
      <c r="J23" s="29">
        <v>720</v>
      </c>
      <c r="K23" s="30"/>
      <c r="L23" s="30"/>
      <c r="M23" s="31"/>
      <c r="N23" s="29">
        <v>720</v>
      </c>
      <c r="O23" s="30"/>
      <c r="P23" s="30"/>
      <c r="Q23" s="31"/>
      <c r="R23" s="29">
        <v>720</v>
      </c>
      <c r="S23" s="30"/>
      <c r="T23" s="30"/>
      <c r="U23" s="31"/>
      <c r="V23" s="29">
        <v>720</v>
      </c>
      <c r="W23" s="30"/>
      <c r="X23" s="30"/>
      <c r="Y23" s="31"/>
    </row>
    <row r="24" spans="1:25" s="2" customFormat="1" ht="12" customHeight="1" x14ac:dyDescent="0.3">
      <c r="A24" s="28" t="s">
        <v>57</v>
      </c>
      <c r="B24" s="29">
        <v>744</v>
      </c>
      <c r="C24" s="178">
        <v>1.23</v>
      </c>
      <c r="D24" s="178">
        <v>3116.6666666666665</v>
      </c>
      <c r="E24" s="178">
        <v>712.5</v>
      </c>
      <c r="F24" s="29">
        <v>744</v>
      </c>
      <c r="G24" s="30"/>
      <c r="H24" s="30"/>
      <c r="I24" s="31"/>
      <c r="J24" s="29">
        <v>744</v>
      </c>
      <c r="K24" s="30"/>
      <c r="L24" s="30"/>
      <c r="M24" s="31"/>
      <c r="N24" s="29">
        <v>744</v>
      </c>
      <c r="O24" s="30"/>
      <c r="P24" s="30"/>
      <c r="Q24" s="31"/>
      <c r="R24" s="29">
        <v>744</v>
      </c>
      <c r="S24" s="30"/>
      <c r="T24" s="30"/>
      <c r="U24" s="31"/>
      <c r="V24" s="29">
        <v>744</v>
      </c>
      <c r="W24" s="30"/>
      <c r="X24" s="30"/>
      <c r="Y24" s="31"/>
    </row>
    <row r="25" spans="1:25" s="2" customFormat="1" ht="12" customHeight="1" x14ac:dyDescent="0.3">
      <c r="A25" s="28" t="s">
        <v>58</v>
      </c>
      <c r="B25" s="29">
        <v>720</v>
      </c>
      <c r="C25" s="179">
        <v>1.56</v>
      </c>
      <c r="D25" s="56">
        <v>2870.8333333333339</v>
      </c>
      <c r="E25" s="56">
        <v>3129.1666666666665</v>
      </c>
      <c r="F25" s="29">
        <v>720</v>
      </c>
      <c r="G25" s="30"/>
      <c r="H25" s="30"/>
      <c r="I25" s="31"/>
      <c r="J25" s="29">
        <v>720</v>
      </c>
      <c r="K25" s="30"/>
      <c r="L25" s="30"/>
      <c r="M25" s="31"/>
      <c r="N25" s="29">
        <v>720</v>
      </c>
      <c r="O25" s="30"/>
      <c r="P25" s="30"/>
      <c r="Q25" s="31"/>
      <c r="R25" s="29">
        <v>720</v>
      </c>
      <c r="S25" s="30"/>
      <c r="T25" s="30"/>
      <c r="U25" s="31"/>
      <c r="V25" s="29">
        <v>720</v>
      </c>
      <c r="W25" s="30"/>
      <c r="X25" s="30"/>
      <c r="Y25" s="31"/>
    </row>
    <row r="26" spans="1:25" s="2" customFormat="1" ht="12" customHeight="1" x14ac:dyDescent="0.3">
      <c r="A26" s="28" t="s">
        <v>59</v>
      </c>
      <c r="B26" s="29">
        <v>744</v>
      </c>
      <c r="C26" s="178">
        <v>2.34</v>
      </c>
      <c r="D26" s="178">
        <v>1883.3333333333339</v>
      </c>
      <c r="E26" s="178">
        <v>8229.1666666666661</v>
      </c>
      <c r="F26" s="29">
        <v>744</v>
      </c>
      <c r="G26" s="30"/>
      <c r="H26" s="30"/>
      <c r="I26" s="31"/>
      <c r="J26" s="29">
        <v>744</v>
      </c>
      <c r="K26" s="30"/>
      <c r="L26" s="30"/>
      <c r="M26" s="31"/>
      <c r="N26" s="29">
        <v>744</v>
      </c>
      <c r="O26" s="30"/>
      <c r="P26" s="30"/>
      <c r="Q26" s="31"/>
      <c r="R26" s="29">
        <v>744</v>
      </c>
      <c r="S26" s="30"/>
      <c r="T26" s="30"/>
      <c r="U26" s="31"/>
      <c r="V26" s="29">
        <v>744</v>
      </c>
      <c r="W26" s="30"/>
      <c r="X26" s="30"/>
      <c r="Y26" s="31"/>
    </row>
    <row r="27" spans="1:25" s="2" customFormat="1" ht="12" customHeight="1" x14ac:dyDescent="0.3">
      <c r="A27" s="28" t="s">
        <v>60</v>
      </c>
      <c r="B27" s="29">
        <v>744</v>
      </c>
      <c r="C27" s="179">
        <v>2.97</v>
      </c>
      <c r="D27" s="56">
        <v>979.16666666666697</v>
      </c>
      <c r="E27" s="56">
        <v>4195.833333333333</v>
      </c>
      <c r="F27" s="29">
        <v>744</v>
      </c>
      <c r="G27" s="30"/>
      <c r="H27" s="30"/>
      <c r="I27" s="31"/>
      <c r="J27" s="29">
        <v>744</v>
      </c>
      <c r="K27" s="30"/>
      <c r="L27" s="30"/>
      <c r="M27" s="31"/>
      <c r="N27" s="29">
        <v>744</v>
      </c>
      <c r="O27" s="30"/>
      <c r="P27" s="30"/>
      <c r="Q27" s="31"/>
      <c r="R27" s="29">
        <v>744</v>
      </c>
      <c r="S27" s="30"/>
      <c r="T27" s="30"/>
      <c r="U27" s="31"/>
      <c r="V27" s="29">
        <v>744</v>
      </c>
      <c r="W27" s="30"/>
      <c r="X27" s="30"/>
      <c r="Y27" s="31"/>
    </row>
    <row r="28" spans="1:25" s="2" customFormat="1" ht="12" customHeight="1" x14ac:dyDescent="0.3">
      <c r="A28" s="28" t="s">
        <v>61</v>
      </c>
      <c r="B28" s="29">
        <v>672</v>
      </c>
      <c r="C28" s="178">
        <v>2.09</v>
      </c>
      <c r="D28" s="178">
        <v>1108.333333333333</v>
      </c>
      <c r="E28" s="178">
        <v>3234.375</v>
      </c>
      <c r="F28" s="29">
        <v>672</v>
      </c>
      <c r="G28" s="30"/>
      <c r="H28" s="30"/>
      <c r="I28" s="31"/>
      <c r="J28" s="29">
        <v>672</v>
      </c>
      <c r="K28" s="30"/>
      <c r="L28" s="30"/>
      <c r="M28" s="31"/>
      <c r="N28" s="29">
        <v>696</v>
      </c>
      <c r="O28" s="30"/>
      <c r="P28" s="30"/>
      <c r="Q28" s="31"/>
      <c r="R28" s="29">
        <v>672</v>
      </c>
      <c r="S28" s="30"/>
      <c r="T28" s="30"/>
      <c r="U28" s="31"/>
      <c r="V28" s="29">
        <v>672</v>
      </c>
      <c r="W28" s="30"/>
      <c r="X28" s="30"/>
      <c r="Y28" s="31"/>
    </row>
    <row r="29" spans="1:25" s="2" customFormat="1" ht="12" customHeight="1" x14ac:dyDescent="0.3">
      <c r="A29" s="28" t="s">
        <v>62</v>
      </c>
      <c r="B29" s="29">
        <v>744</v>
      </c>
      <c r="C29" s="179">
        <v>1.61</v>
      </c>
      <c r="D29" s="56">
        <v>1829.1666666666667</v>
      </c>
      <c r="E29" s="56">
        <v>1916.6666666666667</v>
      </c>
      <c r="F29" s="29">
        <v>744</v>
      </c>
      <c r="G29" s="30"/>
      <c r="H29" s="30"/>
      <c r="I29" s="31"/>
      <c r="J29" s="29">
        <v>744</v>
      </c>
      <c r="K29" s="30"/>
      <c r="L29" s="30"/>
      <c r="M29" s="31"/>
      <c r="N29" s="29">
        <v>744</v>
      </c>
      <c r="O29" s="30"/>
      <c r="P29" s="30"/>
      <c r="Q29" s="31"/>
      <c r="R29" s="29">
        <v>744</v>
      </c>
      <c r="S29" s="30"/>
      <c r="T29" s="30"/>
      <c r="U29" s="31"/>
      <c r="V29" s="29">
        <v>744</v>
      </c>
      <c r="W29" s="30"/>
      <c r="X29" s="30"/>
      <c r="Y29" s="31"/>
    </row>
    <row r="30" spans="1:25" s="2" customFormat="1" ht="12" customHeight="1" x14ac:dyDescent="0.3">
      <c r="A30" s="190" t="s">
        <v>200</v>
      </c>
      <c r="B30" s="29"/>
      <c r="C30" s="179"/>
      <c r="D30" s="56"/>
      <c r="E30" s="56"/>
      <c r="F30" s="29"/>
      <c r="G30" s="30"/>
      <c r="H30" s="30"/>
      <c r="I30" s="31"/>
      <c r="J30" s="29"/>
      <c r="K30" s="30"/>
      <c r="L30" s="30"/>
      <c r="M30" s="31"/>
      <c r="N30" s="29"/>
      <c r="O30" s="30"/>
      <c r="P30" s="30"/>
      <c r="Q30" s="31"/>
      <c r="R30" s="29"/>
      <c r="S30" s="30"/>
      <c r="T30" s="30"/>
      <c r="U30" s="31"/>
      <c r="V30" s="29"/>
      <c r="W30" s="30"/>
      <c r="X30" s="30"/>
      <c r="Y30" s="31"/>
    </row>
    <row r="31" spans="1:25" s="2" customFormat="1" ht="12" customHeight="1" x14ac:dyDescent="0.3">
      <c r="A31" s="28" t="s">
        <v>205</v>
      </c>
      <c r="B31" s="29">
        <v>2184</v>
      </c>
      <c r="C31" s="178">
        <f>+' Tarife an Tr'!E32*0.5</f>
        <v>0.46</v>
      </c>
      <c r="D31" s="178">
        <v>0</v>
      </c>
      <c r="E31" s="178">
        <v>558.33333333333337</v>
      </c>
      <c r="F31" s="29">
        <v>2184</v>
      </c>
      <c r="G31" s="30"/>
      <c r="H31" s="30"/>
      <c r="I31" s="31"/>
      <c r="J31" s="29">
        <v>2184</v>
      </c>
      <c r="K31" s="30"/>
      <c r="L31" s="30"/>
      <c r="M31" s="31"/>
      <c r="N31" s="29">
        <v>2184</v>
      </c>
      <c r="O31" s="30"/>
      <c r="P31" s="30"/>
      <c r="Q31" s="31"/>
      <c r="R31" s="29">
        <v>2184</v>
      </c>
      <c r="S31" s="30"/>
      <c r="T31" s="30"/>
      <c r="U31" s="31"/>
      <c r="V31" s="29">
        <v>2184</v>
      </c>
      <c r="W31" s="30"/>
      <c r="X31" s="30"/>
      <c r="Y31" s="31"/>
    </row>
    <row r="32" spans="1:25" s="2" customFormat="1" ht="12" customHeight="1" x14ac:dyDescent="0.3">
      <c r="A32" s="28" t="s">
        <v>206</v>
      </c>
      <c r="B32" s="29">
        <v>2208</v>
      </c>
      <c r="C32" s="178">
        <f>+' Tarife an Tr'!E33*0.5</f>
        <v>0.435</v>
      </c>
      <c r="D32" s="56">
        <v>0</v>
      </c>
      <c r="E32" s="56">
        <v>2375</v>
      </c>
      <c r="F32" s="29">
        <v>2208</v>
      </c>
      <c r="G32" s="30"/>
      <c r="H32" s="30"/>
      <c r="I32" s="31"/>
      <c r="J32" s="29">
        <v>2208</v>
      </c>
      <c r="K32" s="30"/>
      <c r="L32" s="30"/>
      <c r="M32" s="31"/>
      <c r="N32" s="29">
        <v>2208</v>
      </c>
      <c r="O32" s="30"/>
      <c r="P32" s="30"/>
      <c r="Q32" s="31"/>
      <c r="R32" s="29">
        <v>2208</v>
      </c>
      <c r="S32" s="30"/>
      <c r="T32" s="30"/>
      <c r="U32" s="31"/>
      <c r="V32" s="29">
        <v>2208</v>
      </c>
      <c r="W32" s="30"/>
      <c r="X32" s="30"/>
      <c r="Y32" s="31"/>
    </row>
    <row r="33" spans="1:25" s="2" customFormat="1" ht="12" customHeight="1" x14ac:dyDescent="0.3">
      <c r="A33" s="28" t="s">
        <v>207</v>
      </c>
      <c r="B33" s="29">
        <v>2208</v>
      </c>
      <c r="C33" s="178">
        <f>+' Tarife an Tr'!E34*0.5</f>
        <v>0.74</v>
      </c>
      <c r="D33" s="178">
        <v>475</v>
      </c>
      <c r="E33" s="178">
        <v>0</v>
      </c>
      <c r="F33" s="29">
        <v>2208</v>
      </c>
      <c r="G33" s="30"/>
      <c r="H33" s="30"/>
      <c r="I33" s="31"/>
      <c r="J33" s="29">
        <v>2208</v>
      </c>
      <c r="K33" s="30"/>
      <c r="L33" s="30"/>
      <c r="M33" s="31"/>
      <c r="N33" s="29">
        <v>2208</v>
      </c>
      <c r="O33" s="30"/>
      <c r="P33" s="30"/>
      <c r="Q33" s="31"/>
      <c r="R33" s="29">
        <v>2208</v>
      </c>
      <c r="S33" s="30"/>
      <c r="T33" s="30"/>
      <c r="U33" s="31"/>
      <c r="V33" s="29">
        <v>2208</v>
      </c>
      <c r="W33" s="30"/>
      <c r="X33" s="30"/>
      <c r="Y33" s="31"/>
    </row>
    <row r="34" spans="1:25" s="2" customFormat="1" ht="12" customHeight="1" x14ac:dyDescent="0.3">
      <c r="A34" s="28" t="s">
        <v>208</v>
      </c>
      <c r="B34" s="29">
        <v>2160</v>
      </c>
      <c r="C34" s="178">
        <f>+' Tarife an Tr'!E35*0.5</f>
        <v>0.96499999999999997</v>
      </c>
      <c r="D34" s="56">
        <v>4129.166666666667</v>
      </c>
      <c r="E34" s="56">
        <v>5.5042083333333336</v>
      </c>
      <c r="F34" s="29">
        <v>2160</v>
      </c>
      <c r="G34" s="30"/>
      <c r="H34" s="30"/>
      <c r="I34" s="31"/>
      <c r="J34" s="29">
        <v>2160</v>
      </c>
      <c r="K34" s="30"/>
      <c r="L34" s="30"/>
      <c r="M34" s="31"/>
      <c r="N34" s="29">
        <v>2184</v>
      </c>
      <c r="O34" s="30"/>
      <c r="P34" s="30"/>
      <c r="Q34" s="31"/>
      <c r="R34" s="29">
        <v>2160</v>
      </c>
      <c r="S34" s="30"/>
      <c r="T34" s="30"/>
      <c r="U34" s="31"/>
      <c r="V34" s="29">
        <v>2160</v>
      </c>
      <c r="W34" s="30"/>
      <c r="X34" s="30"/>
      <c r="Y34" s="31"/>
    </row>
    <row r="35" spans="1:25" s="2" customFormat="1" ht="12" customHeight="1" x14ac:dyDescent="0.3">
      <c r="A35" s="28" t="s">
        <v>16</v>
      </c>
      <c r="B35" s="29">
        <v>720</v>
      </c>
      <c r="C35" s="178">
        <f>+' Tarife an Tr'!E36*0.5</f>
        <v>0.64500000000000002</v>
      </c>
      <c r="D35" s="178">
        <v>239.58333333333334</v>
      </c>
      <c r="E35" s="178">
        <v>1395.8333333333333</v>
      </c>
      <c r="F35" s="29">
        <v>720</v>
      </c>
      <c r="G35" s="30"/>
      <c r="H35" s="30"/>
      <c r="I35" s="31"/>
      <c r="J35" s="29">
        <v>720</v>
      </c>
      <c r="K35" s="30"/>
      <c r="L35" s="30"/>
      <c r="M35" s="31"/>
      <c r="N35" s="29">
        <v>720</v>
      </c>
      <c r="O35" s="30"/>
      <c r="P35" s="30"/>
      <c r="Q35" s="31"/>
      <c r="R35" s="29">
        <v>720</v>
      </c>
      <c r="S35" s="30"/>
      <c r="T35" s="30"/>
      <c r="U35" s="31"/>
      <c r="V35" s="29">
        <v>720</v>
      </c>
      <c r="W35" s="30"/>
      <c r="X35" s="30"/>
      <c r="Y35" s="31"/>
    </row>
    <row r="36" spans="1:25" s="2" customFormat="1" ht="12" customHeight="1" x14ac:dyDescent="0.3">
      <c r="A36" s="28" t="s">
        <v>18</v>
      </c>
      <c r="B36" s="29">
        <v>744</v>
      </c>
      <c r="C36" s="178">
        <f>+' Tarife an Tr'!E37*0.5</f>
        <v>0.54500000000000004</v>
      </c>
      <c r="D36" s="56">
        <v>0</v>
      </c>
      <c r="E36" s="56">
        <v>1541.6666666666667</v>
      </c>
      <c r="F36" s="29">
        <v>744</v>
      </c>
      <c r="G36" s="30"/>
      <c r="H36" s="30"/>
      <c r="I36" s="31"/>
      <c r="J36" s="29">
        <v>744</v>
      </c>
      <c r="K36" s="30"/>
      <c r="L36" s="30"/>
      <c r="M36" s="31"/>
      <c r="N36" s="29">
        <v>744</v>
      </c>
      <c r="O36" s="30"/>
      <c r="P36" s="30"/>
      <c r="Q36" s="31"/>
      <c r="R36" s="29">
        <v>744</v>
      </c>
      <c r="S36" s="30"/>
      <c r="T36" s="30"/>
      <c r="U36" s="31"/>
      <c r="V36" s="29">
        <v>744</v>
      </c>
      <c r="W36" s="30"/>
      <c r="X36" s="30"/>
      <c r="Y36" s="31"/>
    </row>
    <row r="37" spans="1:25" s="2" customFormat="1" ht="12" customHeight="1" x14ac:dyDescent="0.3">
      <c r="A37" s="28" t="s">
        <v>20</v>
      </c>
      <c r="B37" s="29">
        <v>720</v>
      </c>
      <c r="C37" s="178">
        <f>+' Tarife an Tr'!E38*0.5</f>
        <v>0.39500000000000002</v>
      </c>
      <c r="D37" s="178">
        <v>0</v>
      </c>
      <c r="E37" s="178">
        <v>1791.6666666666667</v>
      </c>
      <c r="F37" s="29">
        <v>720</v>
      </c>
      <c r="G37" s="30"/>
      <c r="H37" s="30"/>
      <c r="I37" s="31"/>
      <c r="J37" s="29">
        <v>720</v>
      </c>
      <c r="K37" s="30"/>
      <c r="L37" s="30"/>
      <c r="M37" s="31"/>
      <c r="N37" s="29">
        <v>720</v>
      </c>
      <c r="O37" s="30"/>
      <c r="P37" s="30"/>
      <c r="Q37" s="31"/>
      <c r="R37" s="29">
        <v>720</v>
      </c>
      <c r="S37" s="30"/>
      <c r="T37" s="30"/>
      <c r="U37" s="31"/>
      <c r="V37" s="29">
        <v>720</v>
      </c>
      <c r="W37" s="30"/>
      <c r="X37" s="30"/>
      <c r="Y37" s="31"/>
    </row>
    <row r="38" spans="1:25" s="2" customFormat="1" ht="12" customHeight="1" x14ac:dyDescent="0.3">
      <c r="A38" s="28" t="s">
        <v>22</v>
      </c>
      <c r="B38" s="29">
        <v>744</v>
      </c>
      <c r="C38" s="178">
        <f>+' Tarife an Tr'!E39*0.5</f>
        <v>0.48</v>
      </c>
      <c r="D38" s="56">
        <v>0</v>
      </c>
      <c r="E38" s="56">
        <v>916.66666666666663</v>
      </c>
      <c r="F38" s="29">
        <v>744</v>
      </c>
      <c r="G38" s="30"/>
      <c r="H38" s="30"/>
      <c r="I38" s="31"/>
      <c r="J38" s="29">
        <v>744</v>
      </c>
      <c r="K38" s="30"/>
      <c r="L38" s="30"/>
      <c r="M38" s="31"/>
      <c r="N38" s="29">
        <v>744</v>
      </c>
      <c r="O38" s="30"/>
      <c r="P38" s="30"/>
      <c r="Q38" s="31"/>
      <c r="R38" s="29">
        <v>744</v>
      </c>
      <c r="S38" s="30"/>
      <c r="T38" s="30"/>
      <c r="U38" s="31"/>
      <c r="V38" s="29">
        <v>744</v>
      </c>
      <c r="W38" s="30"/>
      <c r="X38" s="30"/>
      <c r="Y38" s="31"/>
    </row>
    <row r="39" spans="1:25" s="2" customFormat="1" ht="12" customHeight="1" x14ac:dyDescent="0.3">
      <c r="A39" s="28" t="s">
        <v>68</v>
      </c>
      <c r="B39" s="29">
        <v>744</v>
      </c>
      <c r="C39" s="178">
        <f>+' Tarife an Tr'!E40*0.5</f>
        <v>0.56999999999999995</v>
      </c>
      <c r="D39" s="178">
        <v>0</v>
      </c>
      <c r="E39" s="178">
        <v>1208.3333333333333</v>
      </c>
      <c r="F39" s="29">
        <v>744</v>
      </c>
      <c r="G39" s="30"/>
      <c r="H39" s="30"/>
      <c r="I39" s="31"/>
      <c r="J39" s="29">
        <v>744</v>
      </c>
      <c r="K39" s="30"/>
      <c r="L39" s="30"/>
      <c r="M39" s="31"/>
      <c r="N39" s="29">
        <v>744</v>
      </c>
      <c r="O39" s="30"/>
      <c r="P39" s="30"/>
      <c r="Q39" s="31"/>
      <c r="R39" s="29">
        <v>744</v>
      </c>
      <c r="S39" s="30"/>
      <c r="T39" s="30"/>
      <c r="U39" s="31"/>
      <c r="V39" s="29">
        <v>744</v>
      </c>
      <c r="W39" s="30"/>
      <c r="X39" s="30"/>
      <c r="Y39" s="31"/>
    </row>
    <row r="40" spans="1:25" s="2" customFormat="1" ht="12" customHeight="1" x14ac:dyDescent="0.3">
      <c r="A40" s="28" t="s">
        <v>25</v>
      </c>
      <c r="B40" s="29">
        <v>720</v>
      </c>
      <c r="C40" s="178">
        <f>+' Tarife an Tr'!E41*0.5</f>
        <v>0.46</v>
      </c>
      <c r="D40" s="56">
        <v>0</v>
      </c>
      <c r="E40" s="56">
        <v>1033.3333333333333</v>
      </c>
      <c r="F40" s="29">
        <v>720</v>
      </c>
      <c r="G40" s="30"/>
      <c r="H40" s="30"/>
      <c r="I40" s="31"/>
      <c r="J40" s="29">
        <v>720</v>
      </c>
      <c r="K40" s="30"/>
      <c r="L40" s="30"/>
      <c r="M40" s="31"/>
      <c r="N40" s="29">
        <v>720</v>
      </c>
      <c r="O40" s="30"/>
      <c r="P40" s="30"/>
      <c r="Q40" s="31"/>
      <c r="R40" s="29">
        <v>720</v>
      </c>
      <c r="S40" s="30"/>
      <c r="T40" s="30"/>
      <c r="U40" s="31"/>
      <c r="V40" s="29">
        <v>720</v>
      </c>
      <c r="W40" s="30"/>
      <c r="X40" s="30"/>
      <c r="Y40" s="31"/>
    </row>
    <row r="41" spans="1:25" s="2" customFormat="1" ht="12" customHeight="1" x14ac:dyDescent="0.3">
      <c r="A41" s="28" t="s">
        <v>69</v>
      </c>
      <c r="B41" s="29">
        <v>744</v>
      </c>
      <c r="C41" s="178">
        <f>+' Tarife an Tr'!E42*0.5</f>
        <v>0.61499999999999999</v>
      </c>
      <c r="D41" s="178">
        <v>0</v>
      </c>
      <c r="E41" s="178">
        <v>2075</v>
      </c>
      <c r="F41" s="29">
        <v>744</v>
      </c>
      <c r="G41" s="30"/>
      <c r="H41" s="30"/>
      <c r="I41" s="31"/>
      <c r="J41" s="29">
        <v>744</v>
      </c>
      <c r="K41" s="30"/>
      <c r="L41" s="30"/>
      <c r="M41" s="31"/>
      <c r="N41" s="29">
        <v>744</v>
      </c>
      <c r="O41" s="30"/>
      <c r="P41" s="30"/>
      <c r="Q41" s="31"/>
      <c r="R41" s="29">
        <v>744</v>
      </c>
      <c r="S41" s="30"/>
      <c r="T41" s="30"/>
      <c r="U41" s="31"/>
      <c r="V41" s="29">
        <v>744</v>
      </c>
      <c r="W41" s="30"/>
      <c r="X41" s="30"/>
      <c r="Y41" s="31"/>
    </row>
    <row r="42" spans="1:25" s="2" customFormat="1" ht="12" customHeight="1" x14ac:dyDescent="0.3">
      <c r="A42" s="28" t="s">
        <v>70</v>
      </c>
      <c r="B42" s="29">
        <v>720</v>
      </c>
      <c r="C42" s="178">
        <f>+' Tarife an Tr'!E43*0.5</f>
        <v>0.78</v>
      </c>
      <c r="D42" s="56">
        <v>1370.8333333333333</v>
      </c>
      <c r="E42" s="56">
        <v>0</v>
      </c>
      <c r="F42" s="29">
        <v>720</v>
      </c>
      <c r="G42" s="30"/>
      <c r="H42" s="30"/>
      <c r="I42" s="31"/>
      <c r="J42" s="29">
        <v>720</v>
      </c>
      <c r="K42" s="30"/>
      <c r="L42" s="30"/>
      <c r="M42" s="31"/>
      <c r="N42" s="29">
        <v>720</v>
      </c>
      <c r="O42" s="30"/>
      <c r="P42" s="30"/>
      <c r="Q42" s="31"/>
      <c r="R42" s="29">
        <v>720</v>
      </c>
      <c r="S42" s="30"/>
      <c r="T42" s="30"/>
      <c r="U42" s="31"/>
      <c r="V42" s="29">
        <v>720</v>
      </c>
      <c r="W42" s="30"/>
      <c r="X42" s="30"/>
      <c r="Y42" s="31"/>
    </row>
    <row r="43" spans="1:25" s="2" customFormat="1" ht="12" customHeight="1" x14ac:dyDescent="0.3">
      <c r="A43" s="28" t="s">
        <v>71</v>
      </c>
      <c r="B43" s="29">
        <v>744</v>
      </c>
      <c r="C43" s="178">
        <f>+' Tarife an Tr'!E44*0.5</f>
        <v>1.17</v>
      </c>
      <c r="D43" s="178">
        <v>6387.5</v>
      </c>
      <c r="E43" s="178">
        <v>0</v>
      </c>
      <c r="F43" s="29">
        <v>744</v>
      </c>
      <c r="G43" s="30"/>
      <c r="H43" s="30"/>
      <c r="I43" s="31"/>
      <c r="J43" s="29">
        <v>744</v>
      </c>
      <c r="K43" s="30"/>
      <c r="L43" s="30"/>
      <c r="M43" s="31"/>
      <c r="N43" s="29">
        <v>744</v>
      </c>
      <c r="O43" s="30"/>
      <c r="P43" s="30"/>
      <c r="Q43" s="31"/>
      <c r="R43" s="29">
        <v>744</v>
      </c>
      <c r="S43" s="30"/>
      <c r="T43" s="30"/>
      <c r="U43" s="31"/>
      <c r="V43" s="29">
        <v>744</v>
      </c>
      <c r="W43" s="30"/>
      <c r="X43" s="30"/>
      <c r="Y43" s="31"/>
    </row>
    <row r="44" spans="1:25" s="2" customFormat="1" ht="12" customHeight="1" x14ac:dyDescent="0.3">
      <c r="A44" s="28" t="s">
        <v>72</v>
      </c>
      <c r="B44" s="29">
        <v>744</v>
      </c>
      <c r="C44" s="178">
        <f>+' Tarife an Tr'!E45*0.5</f>
        <v>1.4850000000000001</v>
      </c>
      <c r="D44" s="56">
        <v>5395.833333333333</v>
      </c>
      <c r="E44" s="56">
        <v>0</v>
      </c>
      <c r="F44" s="29">
        <v>744</v>
      </c>
      <c r="G44" s="30"/>
      <c r="H44" s="30"/>
      <c r="I44" s="31"/>
      <c r="J44" s="29">
        <v>744</v>
      </c>
      <c r="K44" s="30"/>
      <c r="L44" s="30"/>
      <c r="M44" s="31"/>
      <c r="N44" s="29">
        <v>744</v>
      </c>
      <c r="O44" s="30"/>
      <c r="P44" s="30"/>
      <c r="Q44" s="31"/>
      <c r="R44" s="29">
        <v>744</v>
      </c>
      <c r="S44" s="30"/>
      <c r="T44" s="30"/>
      <c r="U44" s="31"/>
      <c r="V44" s="29">
        <v>744</v>
      </c>
      <c r="W44" s="30"/>
      <c r="X44" s="30"/>
      <c r="Y44" s="31"/>
    </row>
    <row r="45" spans="1:25" s="2" customFormat="1" ht="12" customHeight="1" x14ac:dyDescent="0.3">
      <c r="A45" s="28" t="s">
        <v>74</v>
      </c>
      <c r="B45" s="29">
        <v>672</v>
      </c>
      <c r="C45" s="178">
        <f>+' Tarife an Tr'!E46*0.5</f>
        <v>1.0449999999999999</v>
      </c>
      <c r="D45" s="178">
        <v>4554.166666666667</v>
      </c>
      <c r="E45" s="178">
        <v>0</v>
      </c>
      <c r="F45" s="29">
        <v>672</v>
      </c>
      <c r="G45" s="30"/>
      <c r="H45" s="30"/>
      <c r="I45" s="31"/>
      <c r="J45" s="29">
        <v>672</v>
      </c>
      <c r="K45" s="30"/>
      <c r="L45" s="30"/>
      <c r="M45" s="31"/>
      <c r="N45" s="29">
        <v>696</v>
      </c>
      <c r="O45" s="30"/>
      <c r="P45" s="30"/>
      <c r="Q45" s="31"/>
      <c r="R45" s="29">
        <v>672</v>
      </c>
      <c r="S45" s="30"/>
      <c r="T45" s="30"/>
      <c r="U45" s="31"/>
      <c r="V45" s="29">
        <v>672</v>
      </c>
      <c r="W45" s="30"/>
      <c r="X45" s="30"/>
      <c r="Y45" s="31"/>
    </row>
    <row r="46" spans="1:25" s="2" customFormat="1" ht="12" customHeight="1" x14ac:dyDescent="0.3">
      <c r="A46" s="28" t="s">
        <v>75</v>
      </c>
      <c r="B46" s="29">
        <v>744</v>
      </c>
      <c r="C46" s="178">
        <f>+' Tarife an Tr'!E47*0.5</f>
        <v>0.80500000000000005</v>
      </c>
      <c r="D46" s="56">
        <v>258.33333333333331</v>
      </c>
      <c r="E46" s="56">
        <v>0</v>
      </c>
      <c r="F46" s="29">
        <v>744</v>
      </c>
      <c r="G46" s="30"/>
      <c r="H46" s="30"/>
      <c r="I46" s="31"/>
      <c r="J46" s="29">
        <v>744</v>
      </c>
      <c r="K46" s="30"/>
      <c r="L46" s="30"/>
      <c r="M46" s="31"/>
      <c r="N46" s="29">
        <v>744</v>
      </c>
      <c r="O46" s="30"/>
      <c r="P46" s="30"/>
      <c r="Q46" s="31"/>
      <c r="R46" s="29">
        <v>744</v>
      </c>
      <c r="S46" s="30"/>
      <c r="T46" s="30"/>
      <c r="U46" s="31"/>
      <c r="V46" s="29">
        <v>744</v>
      </c>
      <c r="W46" s="30"/>
      <c r="X46" s="30"/>
      <c r="Y46" s="31"/>
    </row>
    <row r="47" spans="1:25" s="2" customFormat="1" ht="12" customHeight="1" thickBot="1" x14ac:dyDescent="0.35">
      <c r="A47" s="32" t="s">
        <v>26</v>
      </c>
      <c r="B47" s="33"/>
      <c r="C47" s="180"/>
      <c r="D47" s="181"/>
      <c r="E47" s="182"/>
      <c r="F47" s="33"/>
      <c r="G47" s="34"/>
      <c r="H47" s="35"/>
      <c r="I47" s="36"/>
      <c r="J47" s="33"/>
      <c r="K47" s="34"/>
      <c r="L47" s="35"/>
      <c r="M47" s="36"/>
      <c r="N47" s="33"/>
      <c r="O47" s="34"/>
      <c r="P47" s="35"/>
      <c r="Q47" s="36"/>
      <c r="R47" s="33"/>
      <c r="S47" s="34"/>
      <c r="T47" s="35"/>
      <c r="U47" s="36"/>
      <c r="V47" s="33"/>
      <c r="W47" s="34"/>
      <c r="X47" s="35"/>
      <c r="Y47" s="36"/>
    </row>
    <row r="48" spans="1:25" s="2" customFormat="1" ht="12" customHeight="1" thickTop="1" thickBot="1" x14ac:dyDescent="0.35">
      <c r="A48" s="1"/>
      <c r="B48" s="193" t="s">
        <v>188</v>
      </c>
      <c r="C48" s="194"/>
      <c r="D48" s="194"/>
      <c r="E48" s="195"/>
      <c r="F48" s="201" t="s">
        <v>187</v>
      </c>
      <c r="G48" s="202"/>
      <c r="H48" s="202"/>
      <c r="I48" s="203"/>
      <c r="J48" s="201" t="s">
        <v>189</v>
      </c>
      <c r="K48" s="202"/>
      <c r="L48" s="202"/>
      <c r="M48" s="203"/>
      <c r="N48" s="201" t="s">
        <v>190</v>
      </c>
      <c r="O48" s="202"/>
      <c r="P48" s="202"/>
      <c r="Q48" s="203"/>
      <c r="R48" s="201" t="s">
        <v>191</v>
      </c>
      <c r="S48" s="202"/>
      <c r="T48" s="202"/>
      <c r="U48" s="203"/>
      <c r="V48" s="201" t="s">
        <v>192</v>
      </c>
      <c r="W48" s="202"/>
      <c r="X48" s="202"/>
      <c r="Y48" s="203"/>
    </row>
    <row r="49" spans="1:25" s="2" customFormat="1" ht="27" thickTop="1" x14ac:dyDescent="0.3">
      <c r="A49" s="37" t="s">
        <v>27</v>
      </c>
      <c r="B49" s="38" t="s">
        <v>28</v>
      </c>
      <c r="C49" s="39"/>
      <c r="D49" s="40" t="s">
        <v>5</v>
      </c>
      <c r="E49" s="41" t="s">
        <v>6</v>
      </c>
      <c r="F49" s="38" t="s">
        <v>29</v>
      </c>
      <c r="G49" s="39"/>
      <c r="H49" s="40" t="s">
        <v>5</v>
      </c>
      <c r="I49" s="41" t="s">
        <v>6</v>
      </c>
      <c r="J49" s="38" t="s">
        <v>29</v>
      </c>
      <c r="K49" s="39"/>
      <c r="L49" s="40" t="s">
        <v>5</v>
      </c>
      <c r="M49" s="41" t="s">
        <v>6</v>
      </c>
      <c r="N49" s="38" t="s">
        <v>29</v>
      </c>
      <c r="O49" s="39"/>
      <c r="P49" s="40" t="s">
        <v>5</v>
      </c>
      <c r="Q49" s="41" t="s">
        <v>6</v>
      </c>
      <c r="R49" s="38" t="s">
        <v>29</v>
      </c>
      <c r="S49" s="39"/>
      <c r="T49" s="40" t="s">
        <v>5</v>
      </c>
      <c r="U49" s="41" t="s">
        <v>6</v>
      </c>
      <c r="V49" s="38" t="s">
        <v>29</v>
      </c>
      <c r="W49" s="39"/>
      <c r="X49" s="40" t="s">
        <v>5</v>
      </c>
      <c r="Y49" s="41" t="s">
        <v>6</v>
      </c>
    </row>
    <row r="50" spans="1:25" s="2" customFormat="1" ht="12" customHeight="1" x14ac:dyDescent="0.3">
      <c r="A50" s="42" t="s">
        <v>30</v>
      </c>
      <c r="B50" s="43">
        <v>1</v>
      </c>
      <c r="C50" s="44"/>
      <c r="D50" s="45">
        <f>+D5/(SUMPRODUCT(D10:D12,C10:C12,B$10:B$12)+SUMPRODUCT(D14:D46,C$14:C$46,B$14:B$46))*1000</f>
        <v>4.9064188501513453</v>
      </c>
      <c r="E50" s="46">
        <f>+E5/(SUMPRODUCT(E10:E12,C10:C12,B$10:B$12)+SUMPRODUCT(E14:E46,C$14:C$46,B$14:B$46))*1000</f>
        <v>4.1418183372867157</v>
      </c>
      <c r="F50" s="43">
        <v>1</v>
      </c>
      <c r="G50" s="44"/>
      <c r="H50" s="45" t="e">
        <f>+H5/(SUMPRODUCT(H10:H12,G10:G12,F$10:F$12)+SUMPRODUCT(H14:H46,G$14:G$46,F$14:F$46))*1000</f>
        <v>#DIV/0!</v>
      </c>
      <c r="I50" s="46" t="e">
        <f>+I5/(SUMPRODUCT(I10:I12,G10:G12,F$10:F$12)+SUMPRODUCT(I14:I46,G$14:G$46,F$14:F$46))*1000</f>
        <v>#DIV/0!</v>
      </c>
      <c r="J50" s="43">
        <v>1</v>
      </c>
      <c r="K50" s="44"/>
      <c r="L50" s="45" t="e">
        <f>+L5/(SUMPRODUCT(L10:L12,K10:K12,J$10:J$12)+SUMPRODUCT(L14:L46,K$14:K$46,J$14:J$46))*1000</f>
        <v>#DIV/0!</v>
      </c>
      <c r="M50" s="46" t="e">
        <f>+M5/(SUMPRODUCT(M10:M12,K10:K12,J$10:J$12)+SUMPRODUCT(M14:M46,K$14:K$46,J$14:J$46))*1000</f>
        <v>#DIV/0!</v>
      </c>
      <c r="N50" s="43">
        <v>1</v>
      </c>
      <c r="O50" s="44"/>
      <c r="P50" s="45" t="e">
        <f>+P5/(SUMPRODUCT(P10:P12,O10:O12,N$10:N$12)+SUMPRODUCT(P14:P46,O$14:O$46,N$14:N$46))*1000</f>
        <v>#DIV/0!</v>
      </c>
      <c r="Q50" s="46" t="e">
        <f>+Q5/(SUMPRODUCT(Q10:Q12,O10:O12,N$10:N$12)+SUMPRODUCT(Q14:Q46,O$14:O$46,N$14:N$46))*1000</f>
        <v>#DIV/0!</v>
      </c>
      <c r="R50" s="43">
        <v>1</v>
      </c>
      <c r="S50" s="44"/>
      <c r="T50" s="45" t="e">
        <f>+T5/(SUMPRODUCT(T10:T12,S10:S12,R$10:R$12)+SUMPRODUCT(T14:T46,S$14:S$46,R$14:R$46))*1000</f>
        <v>#DIV/0!</v>
      </c>
      <c r="U50" s="46" t="e">
        <f>+U5/(SUMPRODUCT(U10:U12,S10:S12,R$10:R$12)+SUMPRODUCT(U14:U46,S$14:S$46,R$14:R$46))*1000</f>
        <v>#DIV/0!</v>
      </c>
      <c r="V50" s="43">
        <v>1</v>
      </c>
      <c r="W50" s="44"/>
      <c r="X50" s="45" t="e">
        <f>+X5/(SUMPRODUCT(X10:X12,W10:W12,V$10:V$12)+SUMPRODUCT(X14:X46,W$14:W$46,V$14:V$46))*1000</f>
        <v>#DIV/0!</v>
      </c>
      <c r="Y50" s="46" t="e">
        <f>+Y5/(SUMPRODUCT(Y10:Y12,W10:W12,V$10:V$12)+SUMPRODUCT(Y14:Y46,W$14:W$46,V$14:V$46))*1000</f>
        <v>#DIV/0!</v>
      </c>
    </row>
    <row r="51" spans="1:25" s="2" customFormat="1" ht="12" customHeight="1" x14ac:dyDescent="0.3">
      <c r="A51" s="42" t="s">
        <v>31</v>
      </c>
      <c r="B51" s="43">
        <v>0.5</v>
      </c>
      <c r="C51" s="44"/>
      <c r="D51" s="45">
        <f>D$50*B51</f>
        <v>2.4532094250756726</v>
      </c>
      <c r="E51" s="47">
        <f>E$50*B51</f>
        <v>2.0709091686433578</v>
      </c>
      <c r="F51" s="43">
        <v>0.5</v>
      </c>
      <c r="G51" s="44"/>
      <c r="H51" s="45" t="e">
        <f>H$50*F51</f>
        <v>#DIV/0!</v>
      </c>
      <c r="I51" s="47" t="e">
        <f>I$50*F51</f>
        <v>#DIV/0!</v>
      </c>
      <c r="J51" s="43">
        <v>0.5</v>
      </c>
      <c r="K51" s="44"/>
      <c r="L51" s="45" t="e">
        <f>L$50*J51</f>
        <v>#DIV/0!</v>
      </c>
      <c r="M51" s="47" t="e">
        <f>M$50*J51</f>
        <v>#DIV/0!</v>
      </c>
      <c r="N51" s="43">
        <v>0.5</v>
      </c>
      <c r="O51" s="44"/>
      <c r="P51" s="45" t="e">
        <f>P$50*N51</f>
        <v>#DIV/0!</v>
      </c>
      <c r="Q51" s="47" t="e">
        <f>Q$50*N51</f>
        <v>#DIV/0!</v>
      </c>
      <c r="R51" s="43">
        <v>0.5</v>
      </c>
      <c r="S51" s="44"/>
      <c r="T51" s="45" t="e">
        <f>T$50*R51</f>
        <v>#DIV/0!</v>
      </c>
      <c r="U51" s="47" t="e">
        <f>U$50*R51</f>
        <v>#DIV/0!</v>
      </c>
      <c r="V51" s="43">
        <v>0.5</v>
      </c>
      <c r="W51" s="44"/>
      <c r="X51" s="45" t="e">
        <f>X$50*V51</f>
        <v>#DIV/0!</v>
      </c>
      <c r="Y51" s="47" t="e">
        <f>Y$50*V51</f>
        <v>#DIV/0!</v>
      </c>
    </row>
    <row r="52" spans="1:25" s="2" customFormat="1" ht="12" customHeight="1" x14ac:dyDescent="0.3">
      <c r="A52" s="1"/>
      <c r="B52" s="48"/>
      <c r="C52" s="48"/>
      <c r="D52" s="49"/>
    </row>
    <row r="53" spans="1:25" s="2" customFormat="1" ht="12" customHeight="1" x14ac:dyDescent="0.3">
      <c r="A53" s="50"/>
      <c r="B53" s="48" t="s">
        <v>32</v>
      </c>
      <c r="C53" s="48"/>
      <c r="D53" s="49"/>
    </row>
    <row r="54" spans="1:25" s="2" customFormat="1" ht="12" customHeight="1" thickBot="1" x14ac:dyDescent="0.35">
      <c r="A54" s="1"/>
      <c r="B54" s="48"/>
      <c r="C54" s="48"/>
      <c r="D54" s="49"/>
    </row>
    <row r="55" spans="1:25" s="2" customFormat="1" ht="12" customHeight="1" thickTop="1" x14ac:dyDescent="0.3">
      <c r="A55" s="52" t="s">
        <v>33</v>
      </c>
      <c r="B55" s="48"/>
      <c r="C55" s="48"/>
      <c r="D55" s="49"/>
    </row>
    <row r="56" spans="1:25" ht="39.6" x14ac:dyDescent="0.3">
      <c r="A56" s="53" t="s">
        <v>34</v>
      </c>
    </row>
    <row r="57" spans="1:25" ht="12" customHeight="1" x14ac:dyDescent="0.3">
      <c r="A57" s="54" t="s">
        <v>35</v>
      </c>
    </row>
    <row r="58" spans="1:25" ht="12" customHeight="1" x14ac:dyDescent="0.3">
      <c r="A58" s="54" t="s">
        <v>36</v>
      </c>
    </row>
    <row r="59" spans="1:25" ht="12" customHeight="1" thickBot="1" x14ac:dyDescent="0.35">
      <c r="A59" s="55" t="s">
        <v>37</v>
      </c>
    </row>
    <row r="60" spans="1:25" ht="12" customHeight="1" thickTop="1" x14ac:dyDescent="0.3"/>
    <row r="63" spans="1:25" ht="12" customHeight="1" x14ac:dyDescent="0.3">
      <c r="A63" s="2"/>
    </row>
    <row r="64" spans="1:25" ht="12" customHeight="1" x14ac:dyDescent="0.3">
      <c r="A64" s="2"/>
    </row>
    <row r="65" spans="1:1" ht="12" customHeight="1" x14ac:dyDescent="0.3">
      <c r="A65" s="2"/>
    </row>
    <row r="66" spans="1:1" ht="12" customHeight="1" x14ac:dyDescent="0.3">
      <c r="A66" s="2"/>
    </row>
    <row r="67" spans="1:1" ht="12" customHeight="1" x14ac:dyDescent="0.3">
      <c r="A67" s="2"/>
    </row>
    <row r="68" spans="1:1" ht="12" customHeight="1" x14ac:dyDescent="0.3">
      <c r="A68" s="2"/>
    </row>
    <row r="69" spans="1:1" ht="12" customHeight="1" x14ac:dyDescent="0.3">
      <c r="A69" s="2"/>
    </row>
    <row r="70" spans="1:1" ht="12" customHeight="1" x14ac:dyDescent="0.3">
      <c r="A70" s="2"/>
    </row>
    <row r="71" spans="1:1" ht="12" customHeight="1" x14ac:dyDescent="0.3">
      <c r="A71" s="2"/>
    </row>
    <row r="72" spans="1:1" ht="12" customHeight="1" x14ac:dyDescent="0.3">
      <c r="A72" s="2"/>
    </row>
    <row r="73" spans="1:1" ht="12" customHeight="1" x14ac:dyDescent="0.3">
      <c r="A73" s="2"/>
    </row>
    <row r="74" spans="1:1" ht="12" customHeight="1" x14ac:dyDescent="0.3">
      <c r="A74" s="2"/>
    </row>
    <row r="75" spans="1:1" ht="12" customHeight="1" x14ac:dyDescent="0.3">
      <c r="A75" s="2"/>
    </row>
    <row r="76" spans="1:1" ht="12" customHeight="1" x14ac:dyDescent="0.3">
      <c r="A76" s="2"/>
    </row>
    <row r="77" spans="1:1" ht="12" customHeight="1" x14ac:dyDescent="0.3">
      <c r="A77" s="2"/>
    </row>
    <row r="78" spans="1:1" ht="12" customHeight="1" x14ac:dyDescent="0.3">
      <c r="A78" s="2"/>
    </row>
    <row r="79" spans="1:1" ht="12" customHeight="1" x14ac:dyDescent="0.3">
      <c r="A79" s="2"/>
    </row>
    <row r="80" spans="1:1" ht="12" customHeight="1" x14ac:dyDescent="0.3">
      <c r="A80" s="2"/>
    </row>
    <row r="81" spans="1:1" ht="12" customHeight="1" x14ac:dyDescent="0.3">
      <c r="A81" s="2"/>
    </row>
    <row r="82" spans="1:1" ht="12" customHeight="1" x14ac:dyDescent="0.3">
      <c r="A82" s="2"/>
    </row>
    <row r="83" spans="1:1" ht="12" customHeight="1" x14ac:dyDescent="0.3">
      <c r="A83" s="2"/>
    </row>
    <row r="84" spans="1:1" ht="12" customHeight="1" x14ac:dyDescent="0.3">
      <c r="A84" s="2"/>
    </row>
    <row r="85" spans="1:1" ht="12" customHeight="1" x14ac:dyDescent="0.3">
      <c r="A85" s="2"/>
    </row>
    <row r="86" spans="1:1" ht="12" customHeight="1" x14ac:dyDescent="0.3">
      <c r="A86" s="2"/>
    </row>
    <row r="87" spans="1:1" ht="12" customHeight="1" x14ac:dyDescent="0.3">
      <c r="A87" s="2"/>
    </row>
    <row r="88" spans="1:1" ht="12" customHeight="1" x14ac:dyDescent="0.3">
      <c r="A88" s="2"/>
    </row>
    <row r="89" spans="1:1" ht="12" customHeight="1" x14ac:dyDescent="0.3">
      <c r="A89" s="2"/>
    </row>
    <row r="90" spans="1:1" ht="12" customHeight="1" x14ac:dyDescent="0.3">
      <c r="A90" s="2"/>
    </row>
    <row r="91" spans="1:1" ht="12" customHeight="1" x14ac:dyDescent="0.3">
      <c r="A91" s="2"/>
    </row>
    <row r="92" spans="1:1" ht="12" customHeight="1" x14ac:dyDescent="0.3">
      <c r="A92" s="2"/>
    </row>
    <row r="93" spans="1:1" ht="12" customHeight="1" x14ac:dyDescent="0.3">
      <c r="A93" s="2"/>
    </row>
    <row r="94" spans="1:1" ht="12" customHeight="1" x14ac:dyDescent="0.3">
      <c r="A94" s="2"/>
    </row>
    <row r="95" spans="1:1" ht="12" customHeight="1" x14ac:dyDescent="0.3">
      <c r="A95" s="2"/>
    </row>
    <row r="96" spans="1:1" ht="12" customHeight="1" x14ac:dyDescent="0.3">
      <c r="A96" s="2"/>
    </row>
    <row r="97" spans="1:1" ht="12" customHeight="1" x14ac:dyDescent="0.3">
      <c r="A97" s="2"/>
    </row>
    <row r="98" spans="1:1" ht="12" customHeight="1" x14ac:dyDescent="0.3">
      <c r="A98" s="2"/>
    </row>
    <row r="99" spans="1:1" ht="12" customHeight="1" x14ac:dyDescent="0.3">
      <c r="A99" s="2"/>
    </row>
    <row r="100" spans="1:1" ht="12" customHeight="1" x14ac:dyDescent="0.3">
      <c r="A100" s="2"/>
    </row>
    <row r="101" spans="1:1" ht="12" customHeight="1" x14ac:dyDescent="0.3">
      <c r="A101" s="2"/>
    </row>
    <row r="102" spans="1:1" ht="12" customHeight="1" x14ac:dyDescent="0.3">
      <c r="A102" s="2"/>
    </row>
    <row r="103" spans="1:1" ht="12" customHeight="1" x14ac:dyDescent="0.3">
      <c r="A103" s="2"/>
    </row>
  </sheetData>
  <sheetProtection selectLockedCells="1"/>
  <mergeCells count="24">
    <mergeCell ref="B48:E48"/>
    <mergeCell ref="F48:I48"/>
    <mergeCell ref="J3:M3"/>
    <mergeCell ref="J4:M4"/>
    <mergeCell ref="L9:M9"/>
    <mergeCell ref="J48:M48"/>
    <mergeCell ref="B3:E3"/>
    <mergeCell ref="F3:I3"/>
    <mergeCell ref="B4:E4"/>
    <mergeCell ref="F4:I4"/>
    <mergeCell ref="D9:E9"/>
    <mergeCell ref="H9:I9"/>
    <mergeCell ref="V3:Y3"/>
    <mergeCell ref="V4:Y4"/>
    <mergeCell ref="X9:Y9"/>
    <mergeCell ref="V48:Y48"/>
    <mergeCell ref="N3:Q3"/>
    <mergeCell ref="N4:Q4"/>
    <mergeCell ref="P9:Q9"/>
    <mergeCell ref="N48:Q48"/>
    <mergeCell ref="R3:U3"/>
    <mergeCell ref="R4:U4"/>
    <mergeCell ref="T9:U9"/>
    <mergeCell ref="R48:U48"/>
  </mergeCells>
  <pageMargins left="0.25" right="0.25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64BD-AE2F-4C33-9C81-00F9E192E60C}">
  <sheetPr>
    <tabColor rgb="FF008000"/>
    <pageSetUpPr fitToPage="1"/>
  </sheetPr>
  <dimension ref="B2:AD298"/>
  <sheetViews>
    <sheetView zoomScaleNormal="100" workbookViewId="0">
      <selection activeCell="D15" sqref="D15:G30"/>
    </sheetView>
  </sheetViews>
  <sheetFormatPr defaultColWidth="9" defaultRowHeight="12" customHeight="1" x14ac:dyDescent="0.3"/>
  <cols>
    <col min="1" max="1" width="9" style="58"/>
    <col min="2" max="2" width="4.33203125" style="58" customWidth="1"/>
    <col min="3" max="3" width="42.44140625" style="58" bestFit="1" customWidth="1"/>
    <col min="4" max="4" width="10.44140625" style="59" customWidth="1"/>
    <col min="5" max="5" width="11.109375" style="59" customWidth="1"/>
    <col min="6" max="6" width="12.109375" style="59" customWidth="1"/>
    <col min="7" max="7" width="10.5546875" style="59" customWidth="1"/>
    <col min="8" max="8" width="14.109375" style="59" bestFit="1" customWidth="1"/>
    <col min="9" max="9" width="12.109375" style="59" customWidth="1"/>
    <col min="10" max="10" width="10.44140625" style="59" customWidth="1"/>
    <col min="11" max="12" width="11.109375" style="59" customWidth="1"/>
    <col min="13" max="13" width="13.44140625" style="59" customWidth="1"/>
    <col min="14" max="14" width="14.88671875" style="59" bestFit="1" customWidth="1"/>
    <col min="15" max="21" width="11.109375" style="59" customWidth="1"/>
    <col min="22" max="22" width="12.109375" style="59" bestFit="1" customWidth="1"/>
    <col min="23" max="27" width="11.109375" style="59" customWidth="1"/>
    <col min="28" max="258" width="9" style="58"/>
    <col min="259" max="259" width="35.33203125" style="58" customWidth="1"/>
    <col min="260" max="283" width="11.109375" style="58" customWidth="1"/>
    <col min="284" max="514" width="9" style="58"/>
    <col min="515" max="515" width="35.33203125" style="58" customWidth="1"/>
    <col min="516" max="539" width="11.109375" style="58" customWidth="1"/>
    <col min="540" max="770" width="9" style="58"/>
    <col min="771" max="771" width="35.33203125" style="58" customWidth="1"/>
    <col min="772" max="795" width="11.109375" style="58" customWidth="1"/>
    <col min="796" max="1026" width="9" style="58"/>
    <col min="1027" max="1027" width="35.33203125" style="58" customWidth="1"/>
    <col min="1028" max="1051" width="11.109375" style="58" customWidth="1"/>
    <col min="1052" max="1282" width="9" style="58"/>
    <col min="1283" max="1283" width="35.33203125" style="58" customWidth="1"/>
    <col min="1284" max="1307" width="11.109375" style="58" customWidth="1"/>
    <col min="1308" max="1538" width="9" style="58"/>
    <col min="1539" max="1539" width="35.33203125" style="58" customWidth="1"/>
    <col min="1540" max="1563" width="11.109375" style="58" customWidth="1"/>
    <col min="1564" max="1794" width="9" style="58"/>
    <col min="1795" max="1795" width="35.33203125" style="58" customWidth="1"/>
    <col min="1796" max="1819" width="11.109375" style="58" customWidth="1"/>
    <col min="1820" max="2050" width="9" style="58"/>
    <col min="2051" max="2051" width="35.33203125" style="58" customWidth="1"/>
    <col min="2052" max="2075" width="11.109375" style="58" customWidth="1"/>
    <col min="2076" max="2306" width="9" style="58"/>
    <col min="2307" max="2307" width="35.33203125" style="58" customWidth="1"/>
    <col min="2308" max="2331" width="11.109375" style="58" customWidth="1"/>
    <col min="2332" max="2562" width="9" style="58"/>
    <col min="2563" max="2563" width="35.33203125" style="58" customWidth="1"/>
    <col min="2564" max="2587" width="11.109375" style="58" customWidth="1"/>
    <col min="2588" max="2818" width="9" style="58"/>
    <col min="2819" max="2819" width="35.33203125" style="58" customWidth="1"/>
    <col min="2820" max="2843" width="11.109375" style="58" customWidth="1"/>
    <col min="2844" max="3074" width="9" style="58"/>
    <col min="3075" max="3075" width="35.33203125" style="58" customWidth="1"/>
    <col min="3076" max="3099" width="11.109375" style="58" customWidth="1"/>
    <col min="3100" max="3330" width="9" style="58"/>
    <col min="3331" max="3331" width="35.33203125" style="58" customWidth="1"/>
    <col min="3332" max="3355" width="11.109375" style="58" customWidth="1"/>
    <col min="3356" max="3586" width="9" style="58"/>
    <col min="3587" max="3587" width="35.33203125" style="58" customWidth="1"/>
    <col min="3588" max="3611" width="11.109375" style="58" customWidth="1"/>
    <col min="3612" max="3842" width="9" style="58"/>
    <col min="3843" max="3843" width="35.33203125" style="58" customWidth="1"/>
    <col min="3844" max="3867" width="11.109375" style="58" customWidth="1"/>
    <col min="3868" max="4098" width="9" style="58"/>
    <col min="4099" max="4099" width="35.33203125" style="58" customWidth="1"/>
    <col min="4100" max="4123" width="11.109375" style="58" customWidth="1"/>
    <col min="4124" max="4354" width="9" style="58"/>
    <col min="4355" max="4355" width="35.33203125" style="58" customWidth="1"/>
    <col min="4356" max="4379" width="11.109375" style="58" customWidth="1"/>
    <col min="4380" max="4610" width="9" style="58"/>
    <col min="4611" max="4611" width="35.33203125" style="58" customWidth="1"/>
    <col min="4612" max="4635" width="11.109375" style="58" customWidth="1"/>
    <col min="4636" max="4866" width="9" style="58"/>
    <col min="4867" max="4867" width="35.33203125" style="58" customWidth="1"/>
    <col min="4868" max="4891" width="11.109375" style="58" customWidth="1"/>
    <col min="4892" max="5122" width="9" style="58"/>
    <col min="5123" max="5123" width="35.33203125" style="58" customWidth="1"/>
    <col min="5124" max="5147" width="11.109375" style="58" customWidth="1"/>
    <col min="5148" max="5378" width="9" style="58"/>
    <col min="5379" max="5379" width="35.33203125" style="58" customWidth="1"/>
    <col min="5380" max="5403" width="11.109375" style="58" customWidth="1"/>
    <col min="5404" max="5634" width="9" style="58"/>
    <col min="5635" max="5635" width="35.33203125" style="58" customWidth="1"/>
    <col min="5636" max="5659" width="11.109375" style="58" customWidth="1"/>
    <col min="5660" max="5890" width="9" style="58"/>
    <col min="5891" max="5891" width="35.33203125" style="58" customWidth="1"/>
    <col min="5892" max="5915" width="11.109375" style="58" customWidth="1"/>
    <col min="5916" max="6146" width="9" style="58"/>
    <col min="6147" max="6147" width="35.33203125" style="58" customWidth="1"/>
    <col min="6148" max="6171" width="11.109375" style="58" customWidth="1"/>
    <col min="6172" max="6402" width="9" style="58"/>
    <col min="6403" max="6403" width="35.33203125" style="58" customWidth="1"/>
    <col min="6404" max="6427" width="11.109375" style="58" customWidth="1"/>
    <col min="6428" max="6658" width="9" style="58"/>
    <col min="6659" max="6659" width="35.33203125" style="58" customWidth="1"/>
    <col min="6660" max="6683" width="11.109375" style="58" customWidth="1"/>
    <col min="6684" max="6914" width="9" style="58"/>
    <col min="6915" max="6915" width="35.33203125" style="58" customWidth="1"/>
    <col min="6916" max="6939" width="11.109375" style="58" customWidth="1"/>
    <col min="6940" max="7170" width="9" style="58"/>
    <col min="7171" max="7171" width="35.33203125" style="58" customWidth="1"/>
    <col min="7172" max="7195" width="11.109375" style="58" customWidth="1"/>
    <col min="7196" max="7426" width="9" style="58"/>
    <col min="7427" max="7427" width="35.33203125" style="58" customWidth="1"/>
    <col min="7428" max="7451" width="11.109375" style="58" customWidth="1"/>
    <col min="7452" max="7682" width="9" style="58"/>
    <col min="7683" max="7683" width="35.33203125" style="58" customWidth="1"/>
    <col min="7684" max="7707" width="11.109375" style="58" customWidth="1"/>
    <col min="7708" max="7938" width="9" style="58"/>
    <col min="7939" max="7939" width="35.33203125" style="58" customWidth="1"/>
    <col min="7940" max="7963" width="11.109375" style="58" customWidth="1"/>
    <col min="7964" max="8194" width="9" style="58"/>
    <col min="8195" max="8195" width="35.33203125" style="58" customWidth="1"/>
    <col min="8196" max="8219" width="11.109375" style="58" customWidth="1"/>
    <col min="8220" max="8450" width="9" style="58"/>
    <col min="8451" max="8451" width="35.33203125" style="58" customWidth="1"/>
    <col min="8452" max="8475" width="11.109375" style="58" customWidth="1"/>
    <col min="8476" max="8706" width="9" style="58"/>
    <col min="8707" max="8707" width="35.33203125" style="58" customWidth="1"/>
    <col min="8708" max="8731" width="11.109375" style="58" customWidth="1"/>
    <col min="8732" max="8962" width="9" style="58"/>
    <col min="8963" max="8963" width="35.33203125" style="58" customWidth="1"/>
    <col min="8964" max="8987" width="11.109375" style="58" customWidth="1"/>
    <col min="8988" max="9218" width="9" style="58"/>
    <col min="9219" max="9219" width="35.33203125" style="58" customWidth="1"/>
    <col min="9220" max="9243" width="11.109375" style="58" customWidth="1"/>
    <col min="9244" max="9474" width="9" style="58"/>
    <col min="9475" max="9475" width="35.33203125" style="58" customWidth="1"/>
    <col min="9476" max="9499" width="11.109375" style="58" customWidth="1"/>
    <col min="9500" max="9730" width="9" style="58"/>
    <col min="9731" max="9731" width="35.33203125" style="58" customWidth="1"/>
    <col min="9732" max="9755" width="11.109375" style="58" customWidth="1"/>
    <col min="9756" max="9986" width="9" style="58"/>
    <col min="9987" max="9987" width="35.33203125" style="58" customWidth="1"/>
    <col min="9988" max="10011" width="11.109375" style="58" customWidth="1"/>
    <col min="10012" max="10242" width="9" style="58"/>
    <col min="10243" max="10243" width="35.33203125" style="58" customWidth="1"/>
    <col min="10244" max="10267" width="11.109375" style="58" customWidth="1"/>
    <col min="10268" max="10498" width="9" style="58"/>
    <col min="10499" max="10499" width="35.33203125" style="58" customWidth="1"/>
    <col min="10500" max="10523" width="11.109375" style="58" customWidth="1"/>
    <col min="10524" max="10754" width="9" style="58"/>
    <col min="10755" max="10755" width="35.33203125" style="58" customWidth="1"/>
    <col min="10756" max="10779" width="11.109375" style="58" customWidth="1"/>
    <col min="10780" max="11010" width="9" style="58"/>
    <col min="11011" max="11011" width="35.33203125" style="58" customWidth="1"/>
    <col min="11012" max="11035" width="11.109375" style="58" customWidth="1"/>
    <col min="11036" max="11266" width="9" style="58"/>
    <col min="11267" max="11267" width="35.33203125" style="58" customWidth="1"/>
    <col min="11268" max="11291" width="11.109375" style="58" customWidth="1"/>
    <col min="11292" max="11522" width="9" style="58"/>
    <col min="11523" max="11523" width="35.33203125" style="58" customWidth="1"/>
    <col min="11524" max="11547" width="11.109375" style="58" customWidth="1"/>
    <col min="11548" max="11778" width="9" style="58"/>
    <col min="11779" max="11779" width="35.33203125" style="58" customWidth="1"/>
    <col min="11780" max="11803" width="11.109375" style="58" customWidth="1"/>
    <col min="11804" max="12034" width="9" style="58"/>
    <col min="12035" max="12035" width="35.33203125" style="58" customWidth="1"/>
    <col min="12036" max="12059" width="11.109375" style="58" customWidth="1"/>
    <col min="12060" max="12290" width="9" style="58"/>
    <col min="12291" max="12291" width="35.33203125" style="58" customWidth="1"/>
    <col min="12292" max="12315" width="11.109375" style="58" customWidth="1"/>
    <col min="12316" max="12546" width="9" style="58"/>
    <col min="12547" max="12547" width="35.33203125" style="58" customWidth="1"/>
    <col min="12548" max="12571" width="11.109375" style="58" customWidth="1"/>
    <col min="12572" max="12802" width="9" style="58"/>
    <col min="12803" max="12803" width="35.33203125" style="58" customWidth="1"/>
    <col min="12804" max="12827" width="11.109375" style="58" customWidth="1"/>
    <col min="12828" max="13058" width="9" style="58"/>
    <col min="13059" max="13059" width="35.33203125" style="58" customWidth="1"/>
    <col min="13060" max="13083" width="11.109375" style="58" customWidth="1"/>
    <col min="13084" max="13314" width="9" style="58"/>
    <col min="13315" max="13315" width="35.33203125" style="58" customWidth="1"/>
    <col min="13316" max="13339" width="11.109375" style="58" customWidth="1"/>
    <col min="13340" max="13570" width="9" style="58"/>
    <col min="13571" max="13571" width="35.33203125" style="58" customWidth="1"/>
    <col min="13572" max="13595" width="11.109375" style="58" customWidth="1"/>
    <col min="13596" max="13826" width="9" style="58"/>
    <col min="13827" max="13827" width="35.33203125" style="58" customWidth="1"/>
    <col min="13828" max="13851" width="11.109375" style="58" customWidth="1"/>
    <col min="13852" max="14082" width="9" style="58"/>
    <col min="14083" max="14083" width="35.33203125" style="58" customWidth="1"/>
    <col min="14084" max="14107" width="11.109375" style="58" customWidth="1"/>
    <col min="14108" max="14338" width="9" style="58"/>
    <col min="14339" max="14339" width="35.33203125" style="58" customWidth="1"/>
    <col min="14340" max="14363" width="11.109375" style="58" customWidth="1"/>
    <col min="14364" max="14594" width="9" style="58"/>
    <col min="14595" max="14595" width="35.33203125" style="58" customWidth="1"/>
    <col min="14596" max="14619" width="11.109375" style="58" customWidth="1"/>
    <col min="14620" max="14850" width="9" style="58"/>
    <col min="14851" max="14851" width="35.33203125" style="58" customWidth="1"/>
    <col min="14852" max="14875" width="11.109375" style="58" customWidth="1"/>
    <col min="14876" max="15106" width="9" style="58"/>
    <col min="15107" max="15107" width="35.33203125" style="58" customWidth="1"/>
    <col min="15108" max="15131" width="11.109375" style="58" customWidth="1"/>
    <col min="15132" max="15362" width="9" style="58"/>
    <col min="15363" max="15363" width="35.33203125" style="58" customWidth="1"/>
    <col min="15364" max="15387" width="11.109375" style="58" customWidth="1"/>
    <col min="15388" max="15618" width="9" style="58"/>
    <col min="15619" max="15619" width="35.33203125" style="58" customWidth="1"/>
    <col min="15620" max="15643" width="11.109375" style="58" customWidth="1"/>
    <col min="15644" max="15874" width="9" style="58"/>
    <col min="15875" max="15875" width="35.33203125" style="58" customWidth="1"/>
    <col min="15876" max="15899" width="11.109375" style="58" customWidth="1"/>
    <col min="15900" max="16130" width="9" style="58"/>
    <col min="16131" max="16131" width="35.33203125" style="58" customWidth="1"/>
    <col min="16132" max="16155" width="11.109375" style="58" customWidth="1"/>
    <col min="16156" max="16384" width="9" style="58"/>
  </cols>
  <sheetData>
    <row r="2" spans="3:25" ht="12" customHeight="1" x14ac:dyDescent="0.3">
      <c r="E2" s="60">
        <v>0.81997486553014154</v>
      </c>
    </row>
    <row r="3" spans="3:25" ht="12" customHeight="1" x14ac:dyDescent="0.3">
      <c r="C3" s="58" t="s">
        <v>38</v>
      </c>
      <c r="D3" s="57">
        <v>2005006.8451680208</v>
      </c>
      <c r="H3" s="57">
        <f>D3-D4</f>
        <v>300751.02677520318</v>
      </c>
    </row>
    <row r="4" spans="3:25" ht="12" customHeight="1" x14ac:dyDescent="0.3">
      <c r="C4" s="58" t="s">
        <v>39</v>
      </c>
      <c r="D4" s="62">
        <f>D3*E4</f>
        <v>1704255.8183928176</v>
      </c>
      <c r="E4" s="63">
        <v>0.85</v>
      </c>
      <c r="F4" s="64">
        <f>D4*D5</f>
        <v>852127.90919640881</v>
      </c>
      <c r="G4" s="64">
        <f>D4*D5</f>
        <v>852127.90919640881</v>
      </c>
    </row>
    <row r="5" spans="3:25" ht="12" customHeight="1" x14ac:dyDescent="0.3">
      <c r="C5" s="58" t="s">
        <v>3</v>
      </c>
      <c r="D5" s="65">
        <v>0.5</v>
      </c>
    </row>
    <row r="6" spans="3:25" ht="12" customHeight="1" x14ac:dyDescent="0.3">
      <c r="D6" s="65"/>
    </row>
    <row r="7" spans="3:25" ht="19.8" thickBot="1" x14ac:dyDescent="0.5">
      <c r="C7" s="66" t="s">
        <v>193</v>
      </c>
      <c r="D7" s="67"/>
      <c r="E7" s="68"/>
      <c r="F7" s="68"/>
      <c r="G7" s="68"/>
      <c r="H7" s="68"/>
      <c r="I7" s="69"/>
      <c r="J7" s="69"/>
      <c r="K7" s="69"/>
      <c r="L7" s="69"/>
      <c r="M7" s="69" t="s">
        <v>41</v>
      </c>
    </row>
    <row r="8" spans="3:25" ht="27" thickTop="1" x14ac:dyDescent="0.3">
      <c r="C8" s="224" t="s">
        <v>42</v>
      </c>
      <c r="D8" s="226" t="s">
        <v>43</v>
      </c>
      <c r="E8" s="226" t="s">
        <v>44</v>
      </c>
      <c r="F8" s="70" t="s">
        <v>5</v>
      </c>
      <c r="G8" s="70" t="s">
        <v>6</v>
      </c>
      <c r="H8" s="70" t="s">
        <v>5</v>
      </c>
      <c r="I8" s="70" t="s">
        <v>6</v>
      </c>
      <c r="J8" s="70" t="s">
        <v>5</v>
      </c>
      <c r="K8" s="70" t="s">
        <v>6</v>
      </c>
      <c r="L8" s="70" t="s">
        <v>5</v>
      </c>
      <c r="M8" s="71" t="s">
        <v>6</v>
      </c>
    </row>
    <row r="9" spans="3:25" ht="12" customHeight="1" x14ac:dyDescent="0.3">
      <c r="C9" s="225"/>
      <c r="D9" s="227"/>
      <c r="E9" s="227"/>
      <c r="F9" s="218" t="s">
        <v>10</v>
      </c>
      <c r="G9" s="220"/>
      <c r="H9" s="218" t="s">
        <v>45</v>
      </c>
      <c r="I9" s="220"/>
      <c r="J9" s="218" t="s">
        <v>46</v>
      </c>
      <c r="K9" s="220"/>
      <c r="L9" s="218" t="s">
        <v>47</v>
      </c>
      <c r="M9" s="219"/>
      <c r="N9" s="218" t="s">
        <v>48</v>
      </c>
      <c r="O9" s="220"/>
      <c r="Q9" s="218" t="s">
        <v>48</v>
      </c>
      <c r="R9" s="220"/>
    </row>
    <row r="10" spans="3:25" ht="12" customHeight="1" x14ac:dyDescent="0.3">
      <c r="C10" s="72" t="s">
        <v>11</v>
      </c>
      <c r="D10" s="73">
        <f>D15+D16+D17+D18</f>
        <v>8760</v>
      </c>
      <c r="E10" s="64">
        <v>1</v>
      </c>
      <c r="F10" s="74">
        <v>12508.333333333332</v>
      </c>
      <c r="G10" s="74">
        <v>12320.833333333334</v>
      </c>
      <c r="H10" s="74">
        <f>D10*F10</f>
        <v>109572999.99999999</v>
      </c>
      <c r="I10" s="74">
        <f>D10*G10</f>
        <v>107930500</v>
      </c>
      <c r="J10" s="64">
        <f>F4/H48*1000</f>
        <v>4.9064188501513453</v>
      </c>
      <c r="K10" s="64">
        <f>G4/I48*1000</f>
        <v>4.1418183372867148</v>
      </c>
      <c r="L10" s="74">
        <f>H10*J10</f>
        <v>537611032.6676333</v>
      </c>
      <c r="M10" s="75">
        <f>I10*K10</f>
        <v>447028524.05252379</v>
      </c>
      <c r="N10" s="59">
        <f>H10</f>
        <v>109572999.99999999</v>
      </c>
      <c r="O10" s="59">
        <f>I10</f>
        <v>107930500</v>
      </c>
      <c r="P10" s="59" t="s">
        <v>49</v>
      </c>
      <c r="Q10" s="59">
        <f>SUM(N10:O10)+SUM(N11:O12)</f>
        <v>217759000</v>
      </c>
      <c r="R10" s="60">
        <f>Q10/$Q$48</f>
        <v>0.73369281391489038</v>
      </c>
      <c r="T10" s="76">
        <v>1.3087553073787703</v>
      </c>
      <c r="V10" s="74">
        <f>H10*X10</f>
        <v>538003430</v>
      </c>
      <c r="W10" s="75">
        <f>I10*Y10</f>
        <v>446832269.99999994</v>
      </c>
      <c r="X10" s="57">
        <f>ROUND(J10,2)</f>
        <v>4.91</v>
      </c>
      <c r="Y10" s="57">
        <f>ROUND(K10,2)</f>
        <v>4.1399999999999997</v>
      </c>
    </row>
    <row r="11" spans="3:25" ht="12" customHeight="1" x14ac:dyDescent="0.3">
      <c r="C11" s="72" t="s">
        <v>12</v>
      </c>
      <c r="D11" s="77">
        <f>D10</f>
        <v>8760</v>
      </c>
      <c r="E11" s="64">
        <v>0.5</v>
      </c>
      <c r="F11" s="74">
        <v>45.833333333333336</v>
      </c>
      <c r="G11" s="74"/>
      <c r="H11" s="74">
        <f>D11*F11*E11</f>
        <v>200750</v>
      </c>
      <c r="I11" s="74"/>
      <c r="J11" s="64">
        <f>J10*E11</f>
        <v>2.4532094250756726</v>
      </c>
      <c r="K11" s="64"/>
      <c r="L11" s="74">
        <f>F11*$D11*J11</f>
        <v>984963.58416788257</v>
      </c>
      <c r="M11" s="75">
        <f>I11*K11</f>
        <v>0</v>
      </c>
      <c r="N11" s="59">
        <f>H11</f>
        <v>200750</v>
      </c>
      <c r="P11" s="59" t="s">
        <v>49</v>
      </c>
      <c r="T11" s="76">
        <f>(T10-1)*R10</f>
        <v>0.22653155028188693</v>
      </c>
      <c r="V11" s="74">
        <f>H11*X11</f>
        <v>491837.50000000006</v>
      </c>
      <c r="W11" s="75">
        <f>H11*Y11</f>
        <v>0</v>
      </c>
      <c r="X11" s="57">
        <f t="shared" ref="X11:Y47" si="0">ROUND(J11,2)</f>
        <v>2.4500000000000002</v>
      </c>
      <c r="Y11" s="57">
        <f t="shared" si="0"/>
        <v>0</v>
      </c>
    </row>
    <row r="12" spans="3:25" ht="12" customHeight="1" x14ac:dyDescent="0.3">
      <c r="C12" s="72" t="s">
        <v>13</v>
      </c>
      <c r="D12" s="77">
        <f>D11</f>
        <v>8760</v>
      </c>
      <c r="E12" s="64">
        <v>0.5</v>
      </c>
      <c r="F12" s="74"/>
      <c r="G12" s="74">
        <v>12.5</v>
      </c>
      <c r="H12" s="74"/>
      <c r="I12" s="74">
        <f>D12*G12*E12</f>
        <v>54750</v>
      </c>
      <c r="J12" s="64"/>
      <c r="K12" s="64">
        <f>K10*E12</f>
        <v>2.0709091686433574</v>
      </c>
      <c r="L12" s="74"/>
      <c r="M12" s="75">
        <f t="shared" ref="L12:M30" si="1">G12*$D12*K12</f>
        <v>226764.55396644762</v>
      </c>
      <c r="O12" s="59">
        <f>I12</f>
        <v>54750</v>
      </c>
      <c r="P12" s="59" t="s">
        <v>49</v>
      </c>
      <c r="V12" s="74">
        <f>H12*X12</f>
        <v>0</v>
      </c>
      <c r="W12" s="75">
        <f>H12*Y12</f>
        <v>0</v>
      </c>
      <c r="X12" s="57">
        <f t="shared" si="0"/>
        <v>0</v>
      </c>
      <c r="Y12" s="57">
        <f t="shared" si="0"/>
        <v>2.0699999999999998</v>
      </c>
    </row>
    <row r="13" spans="3:25" ht="12" customHeight="1" x14ac:dyDescent="0.3">
      <c r="C13" s="72" t="s">
        <v>14</v>
      </c>
      <c r="D13" s="77"/>
      <c r="E13" s="74"/>
      <c r="F13" s="74"/>
      <c r="G13" s="74"/>
      <c r="H13" s="74"/>
      <c r="I13" s="74"/>
      <c r="J13" s="64"/>
      <c r="K13" s="64"/>
      <c r="L13" s="74"/>
      <c r="M13" s="75"/>
      <c r="V13" s="74">
        <f>H13*X13</f>
        <v>0</v>
      </c>
      <c r="W13" s="75">
        <f>H13*Y13</f>
        <v>0</v>
      </c>
      <c r="X13" s="57">
        <f t="shared" si="0"/>
        <v>0</v>
      </c>
      <c r="Y13" s="57">
        <f t="shared" si="0"/>
        <v>0</v>
      </c>
    </row>
    <row r="14" spans="3:25" ht="12" customHeight="1" x14ac:dyDescent="0.3">
      <c r="C14" s="72" t="s">
        <v>50</v>
      </c>
      <c r="D14" s="77"/>
      <c r="E14" s="74"/>
      <c r="F14" s="74"/>
      <c r="G14" s="74"/>
      <c r="H14" s="74"/>
      <c r="I14" s="74"/>
      <c r="J14" s="64"/>
      <c r="K14" s="64"/>
      <c r="L14" s="74"/>
      <c r="M14" s="75"/>
      <c r="V14" s="74">
        <f>H14*X14</f>
        <v>0</v>
      </c>
      <c r="W14" s="75">
        <f>H14*Y14</f>
        <v>0</v>
      </c>
      <c r="X14" s="57">
        <f t="shared" si="0"/>
        <v>0</v>
      </c>
      <c r="Y14" s="57">
        <f t="shared" si="0"/>
        <v>0</v>
      </c>
    </row>
    <row r="15" spans="3:25" ht="12" customHeight="1" x14ac:dyDescent="0.3">
      <c r="C15" s="72" t="s">
        <v>51</v>
      </c>
      <c r="D15" s="77">
        <f>(30+31+30)*24</f>
        <v>2184</v>
      </c>
      <c r="E15" s="64">
        <f>D73</f>
        <v>0.92</v>
      </c>
      <c r="F15" s="74">
        <v>122.91666666666667</v>
      </c>
      <c r="G15" s="74">
        <v>579.16666666666674</v>
      </c>
      <c r="H15" s="74">
        <f>$D15*$E15*F15</f>
        <v>246974.00000000003</v>
      </c>
      <c r="I15" s="74">
        <f>$D15*$E15*G15</f>
        <v>1163708.0000000002</v>
      </c>
      <c r="J15" s="64">
        <f t="shared" ref="J15:J30" si="2">$J$10*E15</f>
        <v>4.5139053421392381</v>
      </c>
      <c r="K15" s="64">
        <f t="shared" ref="K15:K30" si="3">$K$10*E15</f>
        <v>3.8104728703037778</v>
      </c>
      <c r="L15" s="74">
        <f t="shared" si="1"/>
        <v>1211757.8890972785</v>
      </c>
      <c r="M15" s="75">
        <f t="shared" si="1"/>
        <v>4819867.1336472491</v>
      </c>
      <c r="N15" s="59">
        <f>$D15*F15</f>
        <v>268450</v>
      </c>
      <c r="O15" s="59">
        <f>$D15*G15</f>
        <v>1264900.0000000002</v>
      </c>
      <c r="P15" s="59" t="s">
        <v>52</v>
      </c>
      <c r="Q15" s="59">
        <f>SUM(N15:O18)</f>
        <v>34643550</v>
      </c>
      <c r="R15" s="60">
        <f>Q15/$Q$48</f>
        <v>0.11672410179832385</v>
      </c>
      <c r="T15" s="76">
        <v>0.51868862430757778</v>
      </c>
      <c r="V15" s="74">
        <f>F15*D15*X15</f>
        <v>1210709.5</v>
      </c>
      <c r="W15" s="75">
        <f>G15*D15*Y15</f>
        <v>4819269.0000000009</v>
      </c>
      <c r="X15" s="57">
        <f t="shared" si="0"/>
        <v>4.51</v>
      </c>
      <c r="Y15" s="57">
        <f t="shared" si="0"/>
        <v>3.81</v>
      </c>
    </row>
    <row r="16" spans="3:25" ht="12" customHeight="1" x14ac:dyDescent="0.3">
      <c r="C16" s="72" t="s">
        <v>53</v>
      </c>
      <c r="D16" s="77">
        <f>(31+31+30)*24</f>
        <v>2208</v>
      </c>
      <c r="E16" s="64">
        <f>D74</f>
        <v>0.87</v>
      </c>
      <c r="F16" s="78">
        <v>460.41666666666669</v>
      </c>
      <c r="G16" s="74">
        <v>733.33333333333303</v>
      </c>
      <c r="H16" s="74">
        <f t="shared" ref="H16:I30" si="4">$D16*$E16*F16</f>
        <v>884442</v>
      </c>
      <c r="I16" s="74">
        <f t="shared" si="4"/>
        <v>1408703.9999999995</v>
      </c>
      <c r="J16" s="64">
        <f t="shared" si="2"/>
        <v>4.2685843996316706</v>
      </c>
      <c r="K16" s="64">
        <f t="shared" si="3"/>
        <v>3.6033819534394418</v>
      </c>
      <c r="L16" s="74">
        <f t="shared" si="1"/>
        <v>4339442.9006655561</v>
      </c>
      <c r="M16" s="75">
        <f t="shared" si="1"/>
        <v>5834596.0590091413</v>
      </c>
      <c r="N16" s="59">
        <f t="shared" ref="N16:O31" si="5">$D16*F16</f>
        <v>1016600</v>
      </c>
      <c r="O16" s="59">
        <f t="shared" si="5"/>
        <v>1619199.9999999993</v>
      </c>
      <c r="P16" s="59" t="s">
        <v>52</v>
      </c>
      <c r="T16" s="76">
        <f>(T15-1)*R15</f>
        <v>-5.6180638013013588E-2</v>
      </c>
      <c r="V16" s="74">
        <f t="shared" ref="V16:V47" si="6">F16*D16*X16</f>
        <v>4340882</v>
      </c>
      <c r="W16" s="75">
        <f t="shared" ref="W16:W47" si="7">G16*D16*Y16</f>
        <v>5829119.9999999972</v>
      </c>
      <c r="X16" s="57">
        <f t="shared" si="0"/>
        <v>4.2699999999999996</v>
      </c>
      <c r="Y16" s="57">
        <f t="shared" si="0"/>
        <v>3.6</v>
      </c>
    </row>
    <row r="17" spans="3:25" ht="12" customHeight="1" x14ac:dyDescent="0.3">
      <c r="C17" s="72" t="s">
        <v>54</v>
      </c>
      <c r="D17" s="77">
        <f>(31+30+31)*24</f>
        <v>2208</v>
      </c>
      <c r="E17" s="64">
        <f>D71</f>
        <v>1.48</v>
      </c>
      <c r="F17" s="74">
        <v>616.66666666666674</v>
      </c>
      <c r="G17" s="74">
        <v>3141.6666666666665</v>
      </c>
      <c r="H17" s="74">
        <f t="shared" si="4"/>
        <v>2015168.0000000002</v>
      </c>
      <c r="I17" s="74">
        <f t="shared" si="4"/>
        <v>10266464</v>
      </c>
      <c r="J17" s="64">
        <f t="shared" si="2"/>
        <v>7.2614998982239909</v>
      </c>
      <c r="K17" s="64">
        <f t="shared" si="3"/>
        <v>6.1298911391843376</v>
      </c>
      <c r="L17" s="74">
        <f t="shared" si="1"/>
        <v>9887258.2614217885</v>
      </c>
      <c r="M17" s="75">
        <f t="shared" si="1"/>
        <v>42521828.854293913</v>
      </c>
      <c r="N17" s="59">
        <f t="shared" si="5"/>
        <v>1361600.0000000002</v>
      </c>
      <c r="O17" s="59">
        <f t="shared" si="5"/>
        <v>6936800</v>
      </c>
      <c r="P17" s="59" t="s">
        <v>52</v>
      </c>
      <c r="V17" s="74">
        <f t="shared" si="6"/>
        <v>9885216.0000000019</v>
      </c>
      <c r="W17" s="75">
        <f t="shared" si="7"/>
        <v>42522584</v>
      </c>
      <c r="X17" s="57">
        <f t="shared" si="0"/>
        <v>7.26</v>
      </c>
      <c r="Y17" s="57">
        <f t="shared" si="0"/>
        <v>6.13</v>
      </c>
    </row>
    <row r="18" spans="3:25" ht="12" customHeight="1" x14ac:dyDescent="0.3">
      <c r="C18" s="72" t="s">
        <v>55</v>
      </c>
      <c r="D18" s="73">
        <f>(31+28+31)*24</f>
        <v>2160</v>
      </c>
      <c r="E18" s="64">
        <f>D72</f>
        <v>1.93</v>
      </c>
      <c r="F18" s="74">
        <v>1266.6666666666661</v>
      </c>
      <c r="G18" s="74">
        <v>9000</v>
      </c>
      <c r="H18" s="74">
        <f t="shared" si="4"/>
        <v>5280479.9999999981</v>
      </c>
      <c r="I18" s="74">
        <f t="shared" si="4"/>
        <v>37519200</v>
      </c>
      <c r="J18" s="64">
        <f t="shared" si="2"/>
        <v>9.4693883807920969</v>
      </c>
      <c r="K18" s="64">
        <f t="shared" si="3"/>
        <v>7.9937093909633594</v>
      </c>
      <c r="L18" s="74">
        <f t="shared" si="1"/>
        <v>25908246.609847166</v>
      </c>
      <c r="M18" s="75">
        <f t="shared" si="1"/>
        <v>155397710.56032771</v>
      </c>
      <c r="N18" s="59">
        <f t="shared" si="5"/>
        <v>2735999.9999999986</v>
      </c>
      <c r="O18" s="59">
        <f t="shared" si="5"/>
        <v>19440000</v>
      </c>
      <c r="P18" s="59" t="s">
        <v>52</v>
      </c>
      <c r="V18" s="74">
        <f t="shared" si="6"/>
        <v>25909919.999999989</v>
      </c>
      <c r="W18" s="75">
        <f t="shared" si="7"/>
        <v>155325600</v>
      </c>
      <c r="X18" s="57">
        <f t="shared" si="0"/>
        <v>9.4700000000000006</v>
      </c>
      <c r="Y18" s="57">
        <f t="shared" si="0"/>
        <v>7.99</v>
      </c>
    </row>
    <row r="19" spans="3:25" ht="12" customHeight="1" x14ac:dyDescent="0.3">
      <c r="C19" s="72" t="s">
        <v>15</v>
      </c>
      <c r="D19" s="77">
        <f>30*24</f>
        <v>720</v>
      </c>
      <c r="E19" s="64">
        <f t="shared" ref="E19:E24" si="8">D82</f>
        <v>1.29</v>
      </c>
      <c r="F19" s="74">
        <v>2070.833333333333</v>
      </c>
      <c r="G19" s="74">
        <v>2387.5000000000005</v>
      </c>
      <c r="H19" s="74">
        <f t="shared" si="4"/>
        <v>1923389.9999999998</v>
      </c>
      <c r="I19" s="74">
        <f t="shared" si="4"/>
        <v>2217510.0000000005</v>
      </c>
      <c r="J19" s="64">
        <f t="shared" si="2"/>
        <v>6.3292803166952352</v>
      </c>
      <c r="K19" s="64">
        <f t="shared" si="3"/>
        <v>5.3429456550998626</v>
      </c>
      <c r="L19" s="74">
        <f t="shared" si="1"/>
        <v>9436956.9521925934</v>
      </c>
      <c r="M19" s="75">
        <f t="shared" si="1"/>
        <v>9184523.5811166652</v>
      </c>
      <c r="N19" s="59">
        <f>$D19*F19</f>
        <v>1490999.9999999998</v>
      </c>
      <c r="O19" s="59">
        <f t="shared" si="5"/>
        <v>1719000.0000000002</v>
      </c>
      <c r="P19" s="59" t="s">
        <v>56</v>
      </c>
      <c r="Q19" s="59">
        <f>SUM(N19:O30)</f>
        <v>44396050</v>
      </c>
      <c r="R19" s="60">
        <f>Q19/$Q$48</f>
        <v>0.14958308428678571</v>
      </c>
      <c r="T19" s="76">
        <v>0.80286544476113209</v>
      </c>
      <c r="V19" s="74">
        <f t="shared" si="6"/>
        <v>9438029.9999999981</v>
      </c>
      <c r="W19" s="75">
        <f t="shared" si="7"/>
        <v>9179460.0000000019</v>
      </c>
      <c r="X19" s="57">
        <f t="shared" si="0"/>
        <v>6.33</v>
      </c>
      <c r="Y19" s="57">
        <f t="shared" si="0"/>
        <v>5.34</v>
      </c>
    </row>
    <row r="20" spans="3:25" ht="12" customHeight="1" x14ac:dyDescent="0.3">
      <c r="C20" s="72" t="s">
        <v>17</v>
      </c>
      <c r="D20" s="77">
        <f>31*24</f>
        <v>744</v>
      </c>
      <c r="E20" s="64">
        <f t="shared" si="8"/>
        <v>1.0900000000000001</v>
      </c>
      <c r="F20" s="74">
        <v>2597.9166666666665</v>
      </c>
      <c r="G20" s="74">
        <v>883.33333333333303</v>
      </c>
      <c r="H20" s="74">
        <f t="shared" si="4"/>
        <v>2106806.5</v>
      </c>
      <c r="I20" s="74">
        <f t="shared" si="4"/>
        <v>716347.99999999977</v>
      </c>
      <c r="J20" s="64">
        <f t="shared" si="2"/>
        <v>5.3479965466649668</v>
      </c>
      <c r="K20" s="64">
        <f t="shared" si="3"/>
        <v>4.5145819876425195</v>
      </c>
      <c r="L20" s="74">
        <f t="shared" si="1"/>
        <v>10336875.125221381</v>
      </c>
      <c r="M20" s="75">
        <f t="shared" si="1"/>
        <v>2966983.2822786625</v>
      </c>
      <c r="N20" s="59">
        <f t="shared" si="5"/>
        <v>1932850</v>
      </c>
      <c r="O20" s="59">
        <f t="shared" si="5"/>
        <v>657199.99999999977</v>
      </c>
      <c r="P20" s="59" t="s">
        <v>56</v>
      </c>
      <c r="T20" s="76">
        <f>(T19-1)*R19</f>
        <v>-2.9487994792133591E-2</v>
      </c>
      <c r="V20" s="74">
        <f t="shared" si="6"/>
        <v>10340747.5</v>
      </c>
      <c r="W20" s="75">
        <f t="shared" si="7"/>
        <v>2963971.9999999986</v>
      </c>
      <c r="X20" s="57">
        <f t="shared" si="0"/>
        <v>5.35</v>
      </c>
      <c r="Y20" s="57">
        <f t="shared" si="0"/>
        <v>4.51</v>
      </c>
    </row>
    <row r="21" spans="3:25" ht="12" customHeight="1" x14ac:dyDescent="0.3">
      <c r="C21" s="72" t="s">
        <v>19</v>
      </c>
      <c r="D21" s="77">
        <f>D19</f>
        <v>720</v>
      </c>
      <c r="E21" s="64">
        <f t="shared" si="8"/>
        <v>0.79</v>
      </c>
      <c r="F21" s="74">
        <v>2562.5</v>
      </c>
      <c r="G21" s="74">
        <v>604.16666666666697</v>
      </c>
      <c r="H21" s="74">
        <f t="shared" si="4"/>
        <v>1457550.0000000002</v>
      </c>
      <c r="I21" s="74">
        <f t="shared" si="4"/>
        <v>343650.00000000023</v>
      </c>
      <c r="J21" s="64">
        <f t="shared" si="2"/>
        <v>3.876070891619563</v>
      </c>
      <c r="K21" s="64">
        <f t="shared" si="3"/>
        <v>3.2720364864565048</v>
      </c>
      <c r="L21" s="74">
        <f t="shared" si="1"/>
        <v>7151350.7950380938</v>
      </c>
      <c r="M21" s="75">
        <f t="shared" si="1"/>
        <v>1423335.8716085805</v>
      </c>
      <c r="N21" s="59">
        <f t="shared" si="5"/>
        <v>1845000</v>
      </c>
      <c r="O21" s="59">
        <f t="shared" si="5"/>
        <v>435000.00000000023</v>
      </c>
      <c r="P21" s="59" t="s">
        <v>56</v>
      </c>
      <c r="V21" s="74">
        <f t="shared" si="6"/>
        <v>7158600</v>
      </c>
      <c r="W21" s="75">
        <f t="shared" si="7"/>
        <v>1422450.0000000007</v>
      </c>
      <c r="X21" s="57">
        <f t="shared" si="0"/>
        <v>3.88</v>
      </c>
      <c r="Y21" s="57">
        <f t="shared" si="0"/>
        <v>3.27</v>
      </c>
    </row>
    <row r="22" spans="3:25" ht="12" customHeight="1" x14ac:dyDescent="0.3">
      <c r="C22" s="72" t="s">
        <v>21</v>
      </c>
      <c r="D22" s="77">
        <f>D20</f>
        <v>744</v>
      </c>
      <c r="E22" s="64">
        <f t="shared" si="8"/>
        <v>0.96</v>
      </c>
      <c r="F22" s="74">
        <v>4458.333333333333</v>
      </c>
      <c r="G22" s="74">
        <v>779.16666666666663</v>
      </c>
      <c r="H22" s="74">
        <f t="shared" si="4"/>
        <v>3184320</v>
      </c>
      <c r="I22" s="74">
        <f t="shared" si="4"/>
        <v>556512</v>
      </c>
      <c r="J22" s="64">
        <f t="shared" si="2"/>
        <v>4.7101620961452912</v>
      </c>
      <c r="K22" s="64">
        <f t="shared" si="3"/>
        <v>3.9761456037952461</v>
      </c>
      <c r="L22" s="74">
        <f t="shared" si="1"/>
        <v>15623607.672913931</v>
      </c>
      <c r="M22" s="75">
        <f t="shared" si="1"/>
        <v>2304971.6065201042</v>
      </c>
      <c r="N22" s="59">
        <f t="shared" si="5"/>
        <v>3317000</v>
      </c>
      <c r="O22" s="59">
        <f t="shared" si="5"/>
        <v>579700</v>
      </c>
      <c r="P22" s="59" t="s">
        <v>56</v>
      </c>
      <c r="T22" s="79">
        <f>T11+T16+T20</f>
        <v>0.14086291747673974</v>
      </c>
      <c r="V22" s="74">
        <f t="shared" si="6"/>
        <v>15623070</v>
      </c>
      <c r="W22" s="75">
        <f t="shared" si="7"/>
        <v>2307206</v>
      </c>
      <c r="X22" s="57">
        <f t="shared" si="0"/>
        <v>4.71</v>
      </c>
      <c r="Y22" s="57">
        <f t="shared" si="0"/>
        <v>3.98</v>
      </c>
    </row>
    <row r="23" spans="3:25" ht="12" customHeight="1" x14ac:dyDescent="0.3">
      <c r="C23" s="72" t="s">
        <v>23</v>
      </c>
      <c r="D23" s="77">
        <f>D22</f>
        <v>744</v>
      </c>
      <c r="E23" s="64">
        <f t="shared" si="8"/>
        <v>1.1399999999999999</v>
      </c>
      <c r="F23" s="74">
        <v>4629.166666666667</v>
      </c>
      <c r="G23" s="74">
        <v>1904.1666666666667</v>
      </c>
      <c r="H23" s="74">
        <f t="shared" si="4"/>
        <v>3926274</v>
      </c>
      <c r="I23" s="74">
        <f t="shared" si="4"/>
        <v>1615038</v>
      </c>
      <c r="J23" s="64">
        <f t="shared" si="2"/>
        <v>5.5933174891725335</v>
      </c>
      <c r="K23" s="64">
        <f t="shared" si="3"/>
        <v>4.7216729045068542</v>
      </c>
      <c r="L23" s="74">
        <f t="shared" si="1"/>
        <v>19263944.764459122</v>
      </c>
      <c r="M23" s="75">
        <f t="shared" si="1"/>
        <v>6689194.0038148602</v>
      </c>
      <c r="N23" s="59">
        <f t="shared" si="5"/>
        <v>3444100</v>
      </c>
      <c r="O23" s="59">
        <f t="shared" si="5"/>
        <v>1416700</v>
      </c>
      <c r="P23" s="59" t="s">
        <v>56</v>
      </c>
      <c r="V23" s="74">
        <f t="shared" si="6"/>
        <v>19252519</v>
      </c>
      <c r="W23" s="75">
        <f t="shared" si="7"/>
        <v>6686824</v>
      </c>
      <c r="X23" s="57">
        <f t="shared" si="0"/>
        <v>5.59</v>
      </c>
      <c r="Y23" s="57">
        <f t="shared" si="0"/>
        <v>4.72</v>
      </c>
    </row>
    <row r="24" spans="3:25" ht="12" customHeight="1" x14ac:dyDescent="0.3">
      <c r="C24" s="72" t="s">
        <v>24</v>
      </c>
      <c r="D24" s="77">
        <f>D21</f>
        <v>720</v>
      </c>
      <c r="E24" s="64">
        <f t="shared" si="8"/>
        <v>0.92</v>
      </c>
      <c r="F24" s="74">
        <v>3731.25</v>
      </c>
      <c r="G24" s="74">
        <v>866.66666666666674</v>
      </c>
      <c r="H24" s="74">
        <f t="shared" si="4"/>
        <v>2471580</v>
      </c>
      <c r="I24" s="74">
        <f t="shared" si="4"/>
        <v>574080</v>
      </c>
      <c r="J24" s="64">
        <f t="shared" si="2"/>
        <v>4.5139053421392381</v>
      </c>
      <c r="K24" s="64">
        <f t="shared" si="3"/>
        <v>3.8104728703037778</v>
      </c>
      <c r="L24" s="74">
        <f t="shared" si="1"/>
        <v>12126606.701657062</v>
      </c>
      <c r="M24" s="75">
        <f t="shared" si="1"/>
        <v>2377735.0710695572</v>
      </c>
      <c r="N24" s="59">
        <f t="shared" si="5"/>
        <v>2686500</v>
      </c>
      <c r="O24" s="59">
        <f t="shared" si="5"/>
        <v>624000</v>
      </c>
      <c r="P24" s="59" t="s">
        <v>56</v>
      </c>
      <c r="V24" s="74">
        <f t="shared" si="6"/>
        <v>12116115</v>
      </c>
      <c r="W24" s="75">
        <f t="shared" si="7"/>
        <v>2377440</v>
      </c>
      <c r="X24" s="57">
        <f t="shared" si="0"/>
        <v>4.51</v>
      </c>
      <c r="Y24" s="57">
        <f t="shared" si="0"/>
        <v>3.81</v>
      </c>
    </row>
    <row r="25" spans="3:25" ht="12" customHeight="1" x14ac:dyDescent="0.3">
      <c r="C25" s="72" t="s">
        <v>57</v>
      </c>
      <c r="D25" s="77">
        <f>D23</f>
        <v>744</v>
      </c>
      <c r="E25" s="64">
        <f t="shared" ref="E25:E30" si="9">D76</f>
        <v>1.23</v>
      </c>
      <c r="F25" s="74">
        <v>3116.6666666666665</v>
      </c>
      <c r="G25" s="74">
        <v>712.5</v>
      </c>
      <c r="H25" s="74">
        <f t="shared" si="4"/>
        <v>2852124</v>
      </c>
      <c r="I25" s="74">
        <f t="shared" si="4"/>
        <v>652023</v>
      </c>
      <c r="J25" s="64">
        <f t="shared" si="2"/>
        <v>6.034895185686155</v>
      </c>
      <c r="K25" s="64">
        <f t="shared" si="3"/>
        <v>5.0944365548626589</v>
      </c>
      <c r="L25" s="74">
        <f t="shared" si="1"/>
        <v>13993714.956569057</v>
      </c>
      <c r="M25" s="75">
        <f t="shared" si="1"/>
        <v>2700560.8177326955</v>
      </c>
      <c r="N25" s="59">
        <f t="shared" si="5"/>
        <v>2318800</v>
      </c>
      <c r="O25" s="59">
        <f t="shared" si="5"/>
        <v>530100</v>
      </c>
      <c r="P25" s="59" t="s">
        <v>56</v>
      </c>
      <c r="V25" s="74">
        <f t="shared" si="6"/>
        <v>13982364</v>
      </c>
      <c r="W25" s="75">
        <f t="shared" si="7"/>
        <v>2698209</v>
      </c>
      <c r="X25" s="57">
        <f t="shared" si="0"/>
        <v>6.03</v>
      </c>
      <c r="Y25" s="57">
        <f t="shared" si="0"/>
        <v>5.09</v>
      </c>
    </row>
    <row r="26" spans="3:25" ht="12" customHeight="1" x14ac:dyDescent="0.3">
      <c r="C26" s="72" t="s">
        <v>58</v>
      </c>
      <c r="D26" s="77">
        <f>D24</f>
        <v>720</v>
      </c>
      <c r="E26" s="64">
        <f t="shared" si="9"/>
        <v>1.56</v>
      </c>
      <c r="F26" s="74">
        <v>2870.8333333333339</v>
      </c>
      <c r="G26" s="74">
        <v>3129.1666666666665</v>
      </c>
      <c r="H26" s="74">
        <f t="shared" si="4"/>
        <v>3224520.0000000009</v>
      </c>
      <c r="I26" s="74">
        <f t="shared" si="4"/>
        <v>3514680</v>
      </c>
      <c r="J26" s="64">
        <f t="shared" si="2"/>
        <v>7.6540134062360989</v>
      </c>
      <c r="K26" s="64">
        <f t="shared" si="3"/>
        <v>6.461236606167275</v>
      </c>
      <c r="L26" s="74">
        <f t="shared" si="1"/>
        <v>15820845.71069002</v>
      </c>
      <c r="M26" s="75">
        <f t="shared" si="1"/>
        <v>14557166.07369487</v>
      </c>
      <c r="N26" s="59">
        <f t="shared" si="5"/>
        <v>2067000.0000000005</v>
      </c>
      <c r="O26" s="59">
        <f t="shared" si="5"/>
        <v>2253000</v>
      </c>
      <c r="P26" s="59" t="s">
        <v>56</v>
      </c>
      <c r="V26" s="74">
        <f t="shared" si="6"/>
        <v>15812550.000000004</v>
      </c>
      <c r="W26" s="75">
        <f t="shared" si="7"/>
        <v>14554380</v>
      </c>
      <c r="X26" s="57">
        <f t="shared" si="0"/>
        <v>7.65</v>
      </c>
      <c r="Y26" s="57">
        <f t="shared" si="0"/>
        <v>6.46</v>
      </c>
    </row>
    <row r="27" spans="3:25" ht="12" customHeight="1" x14ac:dyDescent="0.3">
      <c r="C27" s="72" t="s">
        <v>59</v>
      </c>
      <c r="D27" s="77">
        <f>D25</f>
        <v>744</v>
      </c>
      <c r="E27" s="64">
        <f t="shared" si="9"/>
        <v>2.34</v>
      </c>
      <c r="F27" s="74">
        <v>1883.3333333333339</v>
      </c>
      <c r="G27" s="74">
        <v>8229.1666666666661</v>
      </c>
      <c r="H27" s="74">
        <f t="shared" si="4"/>
        <v>3278808.0000000005</v>
      </c>
      <c r="I27" s="74">
        <f t="shared" si="4"/>
        <v>14326649.999999998</v>
      </c>
      <c r="J27" s="64">
        <f t="shared" si="2"/>
        <v>11.481020109354148</v>
      </c>
      <c r="K27" s="64">
        <f t="shared" si="3"/>
        <v>9.6918549092509121</v>
      </c>
      <c r="L27" s="74">
        <f t="shared" si="1"/>
        <v>16087205.377227038</v>
      </c>
      <c r="M27" s="75">
        <f t="shared" si="1"/>
        <v>59338381.681888707</v>
      </c>
      <c r="N27" s="59">
        <f t="shared" si="5"/>
        <v>1401200.0000000005</v>
      </c>
      <c r="O27" s="59">
        <f t="shared" si="5"/>
        <v>6122500</v>
      </c>
      <c r="P27" s="59" t="s">
        <v>56</v>
      </c>
      <c r="V27" s="74">
        <f t="shared" si="6"/>
        <v>16085776.000000006</v>
      </c>
      <c r="W27" s="75">
        <f t="shared" si="7"/>
        <v>59327025</v>
      </c>
      <c r="X27" s="57">
        <f t="shared" si="0"/>
        <v>11.48</v>
      </c>
      <c r="Y27" s="57">
        <f t="shared" si="0"/>
        <v>9.69</v>
      </c>
    </row>
    <row r="28" spans="3:25" ht="12" customHeight="1" x14ac:dyDescent="0.3">
      <c r="C28" s="72" t="s">
        <v>60</v>
      </c>
      <c r="D28" s="77">
        <f>D27</f>
        <v>744</v>
      </c>
      <c r="E28" s="64">
        <f t="shared" si="9"/>
        <v>2.97</v>
      </c>
      <c r="F28" s="74">
        <v>979.16666666666697</v>
      </c>
      <c r="G28" s="74">
        <v>4195.833333333333</v>
      </c>
      <c r="H28" s="74">
        <f t="shared" si="4"/>
        <v>2163645.0000000009</v>
      </c>
      <c r="I28" s="74">
        <f t="shared" si="4"/>
        <v>9271449</v>
      </c>
      <c r="J28" s="64">
        <f t="shared" si="2"/>
        <v>14.572063984949496</v>
      </c>
      <c r="K28" s="64">
        <f t="shared" si="3"/>
        <v>12.301200461741544</v>
      </c>
      <c r="L28" s="74">
        <f t="shared" si="1"/>
        <v>10615748.613035711</v>
      </c>
      <c r="M28" s="75">
        <f t="shared" si="1"/>
        <v>38400657.48141858</v>
      </c>
      <c r="N28" s="59">
        <f t="shared" si="5"/>
        <v>728500.00000000023</v>
      </c>
      <c r="O28" s="59">
        <f t="shared" si="5"/>
        <v>3121700</v>
      </c>
      <c r="P28" s="59" t="s">
        <v>56</v>
      </c>
      <c r="V28" s="74">
        <f t="shared" si="6"/>
        <v>10614245.000000004</v>
      </c>
      <c r="W28" s="75">
        <f t="shared" si="7"/>
        <v>38396910</v>
      </c>
      <c r="X28" s="57">
        <f t="shared" si="0"/>
        <v>14.57</v>
      </c>
      <c r="Y28" s="57">
        <f t="shared" si="0"/>
        <v>12.3</v>
      </c>
    </row>
    <row r="29" spans="3:25" ht="12" customHeight="1" x14ac:dyDescent="0.3">
      <c r="C29" s="72" t="s">
        <v>61</v>
      </c>
      <c r="D29" s="73">
        <f>28*24</f>
        <v>672</v>
      </c>
      <c r="E29" s="64">
        <f t="shared" si="9"/>
        <v>2.09</v>
      </c>
      <c r="F29" s="74">
        <v>1108.333333333333</v>
      </c>
      <c r="G29" s="74">
        <v>3234.375</v>
      </c>
      <c r="H29" s="74">
        <f t="shared" si="4"/>
        <v>1556631.9999999995</v>
      </c>
      <c r="I29" s="74">
        <f t="shared" si="4"/>
        <v>4542615</v>
      </c>
      <c r="J29" s="64">
        <f t="shared" si="2"/>
        <v>10.254415396816311</v>
      </c>
      <c r="K29" s="64">
        <f t="shared" si="3"/>
        <v>8.6564003249292334</v>
      </c>
      <c r="L29" s="74">
        <f t="shared" si="1"/>
        <v>7637488.5875487858</v>
      </c>
      <c r="M29" s="75">
        <f t="shared" si="1"/>
        <v>18814686.10623369</v>
      </c>
      <c r="N29" s="59">
        <f t="shared" si="5"/>
        <v>744799.99999999977</v>
      </c>
      <c r="O29" s="59">
        <f t="shared" si="5"/>
        <v>2173500</v>
      </c>
      <c r="P29" s="59" t="s">
        <v>56</v>
      </c>
      <c r="V29" s="74">
        <f t="shared" si="6"/>
        <v>7634199.9999999972</v>
      </c>
      <c r="W29" s="75">
        <f t="shared" si="7"/>
        <v>18822510</v>
      </c>
      <c r="X29" s="57">
        <f t="shared" si="0"/>
        <v>10.25</v>
      </c>
      <c r="Y29" s="57">
        <f t="shared" si="0"/>
        <v>8.66</v>
      </c>
    </row>
    <row r="30" spans="3:25" ht="12" customHeight="1" x14ac:dyDescent="0.3">
      <c r="C30" s="72" t="s">
        <v>62</v>
      </c>
      <c r="D30" s="77">
        <f>D28</f>
        <v>744</v>
      </c>
      <c r="E30" s="64">
        <f t="shared" si="9"/>
        <v>1.61</v>
      </c>
      <c r="F30" s="74">
        <v>1829.1666666666667</v>
      </c>
      <c r="G30" s="74">
        <v>1916.6666666666667</v>
      </c>
      <c r="H30" s="74">
        <f t="shared" si="4"/>
        <v>2191049.0000000005</v>
      </c>
      <c r="I30" s="74">
        <f t="shared" si="4"/>
        <v>2295860.0000000005</v>
      </c>
      <c r="J30" s="64">
        <f t="shared" si="2"/>
        <v>7.8993343487436665</v>
      </c>
      <c r="K30" s="64">
        <f t="shared" si="3"/>
        <v>6.6683275230316115</v>
      </c>
      <c r="L30" s="74">
        <f t="shared" si="1"/>
        <v>10750204.115205256</v>
      </c>
      <c r="M30" s="75">
        <f t="shared" si="1"/>
        <v>9509035.0478430782</v>
      </c>
      <c r="N30" s="59">
        <f t="shared" si="5"/>
        <v>1360900</v>
      </c>
      <c r="O30" s="59">
        <f t="shared" si="5"/>
        <v>1426000</v>
      </c>
      <c r="P30" s="59" t="s">
        <v>56</v>
      </c>
      <c r="V30" s="74">
        <f t="shared" si="6"/>
        <v>10751110</v>
      </c>
      <c r="W30" s="75">
        <f t="shared" si="7"/>
        <v>9511420</v>
      </c>
      <c r="X30" s="57">
        <f t="shared" si="0"/>
        <v>7.9</v>
      </c>
      <c r="Y30" s="57">
        <f t="shared" si="0"/>
        <v>6.67</v>
      </c>
    </row>
    <row r="31" spans="3:25" ht="12" customHeight="1" x14ac:dyDescent="0.3">
      <c r="C31" s="80" t="s">
        <v>63</v>
      </c>
      <c r="D31" s="81"/>
      <c r="E31" s="82"/>
      <c r="F31" s="83"/>
      <c r="G31" s="83"/>
      <c r="H31" s="74"/>
      <c r="I31" s="74"/>
      <c r="J31" s="82"/>
      <c r="K31" s="82"/>
      <c r="L31" s="74"/>
      <c r="M31" s="75"/>
      <c r="N31" s="59">
        <f t="shared" si="5"/>
        <v>0</v>
      </c>
      <c r="O31" s="59">
        <f t="shared" si="5"/>
        <v>0</v>
      </c>
      <c r="V31" s="74">
        <f t="shared" si="6"/>
        <v>0</v>
      </c>
      <c r="W31" s="75">
        <f t="shared" si="7"/>
        <v>0</v>
      </c>
      <c r="X31" s="57">
        <f t="shared" si="0"/>
        <v>0</v>
      </c>
      <c r="Y31" s="57">
        <f t="shared" si="0"/>
        <v>0</v>
      </c>
    </row>
    <row r="32" spans="3:25" ht="12" customHeight="1" x14ac:dyDescent="0.3">
      <c r="C32" s="84" t="s">
        <v>64</v>
      </c>
      <c r="D32" s="81">
        <f t="shared" ref="D32:E47" si="10">D15</f>
        <v>2184</v>
      </c>
      <c r="E32" s="82">
        <f t="shared" si="10"/>
        <v>0.92</v>
      </c>
      <c r="F32" s="83">
        <v>0</v>
      </c>
      <c r="G32" s="83">
        <v>558.33333333333337</v>
      </c>
      <c r="H32" s="74">
        <f>$D32*$E32*F32*$E$12</f>
        <v>0</v>
      </c>
      <c r="I32" s="74">
        <f>$D32*$E32*G32*$E$12</f>
        <v>560924.00000000012</v>
      </c>
      <c r="J32" s="82">
        <f>$J$11*E32</f>
        <v>2.2569526710696191</v>
      </c>
      <c r="K32" s="82">
        <f>$K$12*E32</f>
        <v>1.9052364351518889</v>
      </c>
      <c r="L32" s="74">
        <f t="shared" ref="L32:M47" si="11">F32*$D32*J32</f>
        <v>0</v>
      </c>
      <c r="M32" s="75">
        <f t="shared" si="11"/>
        <v>2323245.3090242133</v>
      </c>
      <c r="N32" s="59">
        <f t="shared" ref="N32:O47" si="12">$D32*F32</f>
        <v>0</v>
      </c>
      <c r="O32" s="59">
        <f t="shared" si="12"/>
        <v>1219400</v>
      </c>
      <c r="V32" s="74">
        <f t="shared" si="6"/>
        <v>0</v>
      </c>
      <c r="W32" s="75">
        <f t="shared" si="7"/>
        <v>2329054</v>
      </c>
      <c r="X32" s="57">
        <f t="shared" si="0"/>
        <v>2.2599999999999998</v>
      </c>
      <c r="Y32" s="57">
        <f t="shared" si="0"/>
        <v>1.91</v>
      </c>
    </row>
    <row r="33" spans="3:25" ht="12" customHeight="1" x14ac:dyDescent="0.3">
      <c r="C33" s="84" t="s">
        <v>65</v>
      </c>
      <c r="D33" s="81">
        <f t="shared" si="10"/>
        <v>2208</v>
      </c>
      <c r="E33" s="82">
        <f t="shared" si="10"/>
        <v>0.87</v>
      </c>
      <c r="F33" s="83">
        <v>0</v>
      </c>
      <c r="G33" s="83">
        <v>2375</v>
      </c>
      <c r="H33" s="74">
        <f>$D33*$E33*F33*$E$12</f>
        <v>0</v>
      </c>
      <c r="I33" s="74">
        <f t="shared" ref="I33:I47" si="13">$D33*$E33*G33*$E$12</f>
        <v>2281140</v>
      </c>
      <c r="J33" s="82">
        <f t="shared" ref="J33:J47" si="14">$J$11*E33</f>
        <v>2.1342921998158353</v>
      </c>
      <c r="K33" s="82">
        <f t="shared" ref="K33:K47" si="15">$K$12*E33</f>
        <v>1.8016909767197209</v>
      </c>
      <c r="L33" s="74">
        <f t="shared" si="11"/>
        <v>0</v>
      </c>
      <c r="M33" s="75">
        <f t="shared" si="11"/>
        <v>9448067.4819182158</v>
      </c>
      <c r="N33" s="59">
        <f t="shared" si="12"/>
        <v>0</v>
      </c>
      <c r="O33" s="59">
        <f t="shared" si="12"/>
        <v>5244000</v>
      </c>
      <c r="V33" s="74">
        <f t="shared" si="6"/>
        <v>0</v>
      </c>
      <c r="W33" s="75">
        <f t="shared" si="7"/>
        <v>9439200</v>
      </c>
      <c r="X33" s="57">
        <f t="shared" si="0"/>
        <v>2.13</v>
      </c>
      <c r="Y33" s="57">
        <f t="shared" si="0"/>
        <v>1.8</v>
      </c>
    </row>
    <row r="34" spans="3:25" ht="12" customHeight="1" x14ac:dyDescent="0.3">
      <c r="C34" s="84" t="s">
        <v>66</v>
      </c>
      <c r="D34" s="81">
        <f t="shared" si="10"/>
        <v>2208</v>
      </c>
      <c r="E34" s="82">
        <f t="shared" si="10"/>
        <v>1.48</v>
      </c>
      <c r="F34" s="83">
        <v>475</v>
      </c>
      <c r="G34" s="83">
        <v>0</v>
      </c>
      <c r="H34" s="74">
        <f>$D34*$E34*F34*$E$12</f>
        <v>776112</v>
      </c>
      <c r="I34" s="74">
        <f t="shared" si="13"/>
        <v>0</v>
      </c>
      <c r="J34" s="82">
        <f t="shared" si="14"/>
        <v>3.6307499491119954</v>
      </c>
      <c r="K34" s="82">
        <f t="shared" si="15"/>
        <v>3.0649455695921688</v>
      </c>
      <c r="L34" s="74">
        <f t="shared" si="11"/>
        <v>3807930.546628661</v>
      </c>
      <c r="M34" s="75">
        <f t="shared" si="11"/>
        <v>0</v>
      </c>
      <c r="N34" s="59">
        <f t="shared" si="12"/>
        <v>1048800</v>
      </c>
      <c r="O34" s="59">
        <f t="shared" si="12"/>
        <v>0</v>
      </c>
      <c r="V34" s="74">
        <f t="shared" si="6"/>
        <v>3807144</v>
      </c>
      <c r="W34" s="75">
        <f t="shared" si="7"/>
        <v>0</v>
      </c>
      <c r="X34" s="57">
        <f t="shared" si="0"/>
        <v>3.63</v>
      </c>
      <c r="Y34" s="57">
        <f t="shared" si="0"/>
        <v>3.06</v>
      </c>
    </row>
    <row r="35" spans="3:25" ht="12" customHeight="1" x14ac:dyDescent="0.3">
      <c r="C35" s="84" t="s">
        <v>67</v>
      </c>
      <c r="D35" s="81">
        <f t="shared" si="10"/>
        <v>2160</v>
      </c>
      <c r="E35" s="82">
        <f t="shared" si="10"/>
        <v>1.93</v>
      </c>
      <c r="F35" s="83">
        <v>4129.166666666667</v>
      </c>
      <c r="G35" s="83">
        <v>5.5042083333333336</v>
      </c>
      <c r="H35" s="74">
        <f>$D35*$E35*F35*$E$12</f>
        <v>8606835.0000000019</v>
      </c>
      <c r="I35" s="74">
        <f t="shared" si="13"/>
        <v>11472.971850000002</v>
      </c>
      <c r="J35" s="82">
        <f t="shared" si="14"/>
        <v>4.7346941903960484</v>
      </c>
      <c r="K35" s="82">
        <f t="shared" si="15"/>
        <v>3.9968546954816797</v>
      </c>
      <c r="L35" s="74">
        <f t="shared" si="11"/>
        <v>42228737.484142356</v>
      </c>
      <c r="M35" s="75">
        <f t="shared" si="11"/>
        <v>47518.965191504285</v>
      </c>
      <c r="N35" s="59">
        <f t="shared" si="12"/>
        <v>8919000</v>
      </c>
      <c r="O35" s="59">
        <f t="shared" si="12"/>
        <v>11889.09</v>
      </c>
      <c r="V35" s="74">
        <f t="shared" si="6"/>
        <v>42186870.000000007</v>
      </c>
      <c r="W35" s="75">
        <f t="shared" si="7"/>
        <v>47556.36</v>
      </c>
      <c r="X35" s="57">
        <f t="shared" si="0"/>
        <v>4.7300000000000004</v>
      </c>
      <c r="Y35" s="57">
        <f t="shared" si="0"/>
        <v>4</v>
      </c>
    </row>
    <row r="36" spans="3:25" ht="12" customHeight="1" x14ac:dyDescent="0.3">
      <c r="C36" s="84" t="s">
        <v>16</v>
      </c>
      <c r="D36" s="81">
        <f t="shared" si="10"/>
        <v>720</v>
      </c>
      <c r="E36" s="82">
        <f t="shared" si="10"/>
        <v>1.29</v>
      </c>
      <c r="F36" s="83">
        <v>239.58333333333334</v>
      </c>
      <c r="G36" s="83">
        <v>1395.8333333333333</v>
      </c>
      <c r="H36" s="74">
        <f t="shared" ref="H36:H47" si="16">$D36*$E36*F36*$E$12</f>
        <v>111262.50000000001</v>
      </c>
      <c r="I36" s="74">
        <f t="shared" si="13"/>
        <v>648225</v>
      </c>
      <c r="J36" s="82">
        <f t="shared" si="14"/>
        <v>3.1646401583476176</v>
      </c>
      <c r="K36" s="82">
        <f t="shared" si="15"/>
        <v>2.6714728275499313</v>
      </c>
      <c r="L36" s="74">
        <f t="shared" si="11"/>
        <v>545900.42731496401</v>
      </c>
      <c r="M36" s="75">
        <f t="shared" si="11"/>
        <v>2684830.1916876808</v>
      </c>
      <c r="N36" s="59">
        <f t="shared" si="12"/>
        <v>172500</v>
      </c>
      <c r="O36" s="59">
        <f t="shared" si="12"/>
        <v>1005000</v>
      </c>
      <c r="V36" s="74">
        <f t="shared" si="6"/>
        <v>545100</v>
      </c>
      <c r="W36" s="75">
        <f t="shared" si="7"/>
        <v>2683350</v>
      </c>
      <c r="X36" s="57">
        <f t="shared" si="0"/>
        <v>3.16</v>
      </c>
      <c r="Y36" s="57">
        <f t="shared" si="0"/>
        <v>2.67</v>
      </c>
    </row>
    <row r="37" spans="3:25" ht="12" customHeight="1" x14ac:dyDescent="0.3">
      <c r="C37" s="84" t="s">
        <v>18</v>
      </c>
      <c r="D37" s="81">
        <f t="shared" si="10"/>
        <v>744</v>
      </c>
      <c r="E37" s="82">
        <f t="shared" si="10"/>
        <v>1.0900000000000001</v>
      </c>
      <c r="F37" s="83">
        <v>0</v>
      </c>
      <c r="G37" s="83">
        <v>1541.6666666666667</v>
      </c>
      <c r="H37" s="74">
        <f t="shared" si="16"/>
        <v>0</v>
      </c>
      <c r="I37" s="74">
        <f t="shared" si="13"/>
        <v>625115.00000000012</v>
      </c>
      <c r="J37" s="82">
        <f t="shared" si="14"/>
        <v>2.6739982733324834</v>
      </c>
      <c r="K37" s="82">
        <f t="shared" si="15"/>
        <v>2.2572909938212598</v>
      </c>
      <c r="L37" s="74">
        <f t="shared" si="11"/>
        <v>0</v>
      </c>
      <c r="M37" s="75">
        <f t="shared" si="11"/>
        <v>2589112.7699129852</v>
      </c>
      <c r="N37" s="59">
        <f t="shared" si="12"/>
        <v>0</v>
      </c>
      <c r="O37" s="59">
        <f t="shared" si="12"/>
        <v>1147000</v>
      </c>
      <c r="V37" s="74">
        <f t="shared" si="6"/>
        <v>0</v>
      </c>
      <c r="W37" s="75">
        <f t="shared" si="7"/>
        <v>2592219.9999999995</v>
      </c>
      <c r="X37" s="57">
        <f t="shared" si="0"/>
        <v>2.67</v>
      </c>
      <c r="Y37" s="57">
        <f t="shared" si="0"/>
        <v>2.2599999999999998</v>
      </c>
    </row>
    <row r="38" spans="3:25" ht="12" customHeight="1" x14ac:dyDescent="0.3">
      <c r="C38" s="84" t="s">
        <v>20</v>
      </c>
      <c r="D38" s="81">
        <f t="shared" si="10"/>
        <v>720</v>
      </c>
      <c r="E38" s="82">
        <f t="shared" si="10"/>
        <v>0.79</v>
      </c>
      <c r="F38" s="83">
        <v>0</v>
      </c>
      <c r="G38" s="83">
        <v>1791.6666666666667</v>
      </c>
      <c r="H38" s="74">
        <f t="shared" si="16"/>
        <v>0</v>
      </c>
      <c r="I38" s="74">
        <f t="shared" si="13"/>
        <v>509550.00000000006</v>
      </c>
      <c r="J38" s="82">
        <f t="shared" si="14"/>
        <v>1.9380354458097815</v>
      </c>
      <c r="K38" s="82">
        <f t="shared" si="15"/>
        <v>1.6360182432282524</v>
      </c>
      <c r="L38" s="74">
        <f t="shared" si="11"/>
        <v>0</v>
      </c>
      <c r="M38" s="75">
        <f t="shared" si="11"/>
        <v>2110463.5337644457</v>
      </c>
      <c r="N38" s="59">
        <f t="shared" si="12"/>
        <v>0</v>
      </c>
      <c r="O38" s="59">
        <f t="shared" si="12"/>
        <v>1290000</v>
      </c>
      <c r="V38" s="74">
        <f t="shared" si="6"/>
        <v>0</v>
      </c>
      <c r="W38" s="75">
        <f t="shared" si="7"/>
        <v>2115600</v>
      </c>
      <c r="X38" s="57">
        <f t="shared" si="0"/>
        <v>1.94</v>
      </c>
      <c r="Y38" s="57">
        <f t="shared" si="0"/>
        <v>1.64</v>
      </c>
    </row>
    <row r="39" spans="3:25" ht="12" customHeight="1" x14ac:dyDescent="0.3">
      <c r="C39" s="84" t="s">
        <v>22</v>
      </c>
      <c r="D39" s="81">
        <f t="shared" si="10"/>
        <v>744</v>
      </c>
      <c r="E39" s="82">
        <f t="shared" si="10"/>
        <v>0.96</v>
      </c>
      <c r="F39" s="83">
        <v>0</v>
      </c>
      <c r="G39" s="83">
        <v>916.66666666666663</v>
      </c>
      <c r="H39" s="74">
        <f t="shared" si="16"/>
        <v>0</v>
      </c>
      <c r="I39" s="74">
        <f t="shared" si="13"/>
        <v>327360</v>
      </c>
      <c r="J39" s="82">
        <f t="shared" si="14"/>
        <v>2.3550810480726456</v>
      </c>
      <c r="K39" s="82">
        <f t="shared" si="15"/>
        <v>1.988072801897623</v>
      </c>
      <c r="L39" s="74">
        <f t="shared" si="11"/>
        <v>0</v>
      </c>
      <c r="M39" s="75">
        <f t="shared" si="11"/>
        <v>1355865.650894179</v>
      </c>
      <c r="N39" s="59">
        <f t="shared" si="12"/>
        <v>0</v>
      </c>
      <c r="O39" s="59">
        <f t="shared" si="12"/>
        <v>682000</v>
      </c>
      <c r="V39" s="74">
        <f t="shared" si="6"/>
        <v>0</v>
      </c>
      <c r="W39" s="75">
        <f t="shared" si="7"/>
        <v>1357180</v>
      </c>
      <c r="X39" s="57">
        <f t="shared" si="0"/>
        <v>2.36</v>
      </c>
      <c r="Y39" s="57">
        <f t="shared" si="0"/>
        <v>1.99</v>
      </c>
    </row>
    <row r="40" spans="3:25" ht="12" customHeight="1" x14ac:dyDescent="0.3">
      <c r="C40" s="84" t="s">
        <v>68</v>
      </c>
      <c r="D40" s="81">
        <f t="shared" si="10"/>
        <v>744</v>
      </c>
      <c r="E40" s="82">
        <f t="shared" si="10"/>
        <v>1.1399999999999999</v>
      </c>
      <c r="F40" s="83">
        <v>0</v>
      </c>
      <c r="G40" s="83">
        <v>1208.3333333333333</v>
      </c>
      <c r="H40" s="74">
        <f t="shared" si="16"/>
        <v>0</v>
      </c>
      <c r="I40" s="74">
        <f t="shared" si="13"/>
        <v>512429.99999999994</v>
      </c>
      <c r="J40" s="82">
        <f t="shared" si="14"/>
        <v>2.7966587445862667</v>
      </c>
      <c r="K40" s="82">
        <f t="shared" si="15"/>
        <v>2.3608364522534271</v>
      </c>
      <c r="L40" s="74">
        <f t="shared" si="11"/>
        <v>0</v>
      </c>
      <c r="M40" s="75">
        <f t="shared" si="11"/>
        <v>2122391.9705758309</v>
      </c>
      <c r="N40" s="59">
        <f t="shared" si="12"/>
        <v>0</v>
      </c>
      <c r="O40" s="59">
        <f t="shared" si="12"/>
        <v>899000</v>
      </c>
      <c r="V40" s="74">
        <f t="shared" si="6"/>
        <v>0</v>
      </c>
      <c r="W40" s="75">
        <f t="shared" si="7"/>
        <v>2121640</v>
      </c>
      <c r="X40" s="57">
        <f t="shared" si="0"/>
        <v>2.8</v>
      </c>
      <c r="Y40" s="57">
        <f t="shared" si="0"/>
        <v>2.36</v>
      </c>
    </row>
    <row r="41" spans="3:25" ht="12" customHeight="1" x14ac:dyDescent="0.3">
      <c r="C41" s="84" t="s">
        <v>25</v>
      </c>
      <c r="D41" s="81">
        <f t="shared" si="10"/>
        <v>720</v>
      </c>
      <c r="E41" s="82">
        <f t="shared" si="10"/>
        <v>0.92</v>
      </c>
      <c r="F41" s="83">
        <v>0</v>
      </c>
      <c r="G41" s="83">
        <v>1033.3333333333333</v>
      </c>
      <c r="H41" s="74">
        <f t="shared" si="16"/>
        <v>0</v>
      </c>
      <c r="I41" s="74">
        <f t="shared" si="13"/>
        <v>342239.99999999994</v>
      </c>
      <c r="J41" s="82">
        <f t="shared" si="14"/>
        <v>2.2569526710696191</v>
      </c>
      <c r="K41" s="82">
        <f t="shared" si="15"/>
        <v>1.9052364351518889</v>
      </c>
      <c r="L41" s="74">
        <f t="shared" si="11"/>
        <v>0</v>
      </c>
      <c r="M41" s="75">
        <f t="shared" si="11"/>
        <v>1417495.9077530054</v>
      </c>
      <c r="N41" s="59">
        <f t="shared" si="12"/>
        <v>0</v>
      </c>
      <c r="O41" s="59">
        <f t="shared" si="12"/>
        <v>744000</v>
      </c>
      <c r="V41" s="74">
        <f t="shared" si="6"/>
        <v>0</v>
      </c>
      <c r="W41" s="75">
        <f t="shared" si="7"/>
        <v>1421040</v>
      </c>
      <c r="X41" s="57">
        <f t="shared" si="0"/>
        <v>2.2599999999999998</v>
      </c>
      <c r="Y41" s="57">
        <f t="shared" si="0"/>
        <v>1.91</v>
      </c>
    </row>
    <row r="42" spans="3:25" ht="12" customHeight="1" x14ac:dyDescent="0.3">
      <c r="C42" s="84" t="s">
        <v>69</v>
      </c>
      <c r="D42" s="81">
        <f t="shared" si="10"/>
        <v>744</v>
      </c>
      <c r="E42" s="82">
        <f t="shared" si="10"/>
        <v>1.23</v>
      </c>
      <c r="F42" s="83">
        <v>0</v>
      </c>
      <c r="G42" s="83">
        <v>2075</v>
      </c>
      <c r="H42" s="74">
        <f t="shared" si="16"/>
        <v>0</v>
      </c>
      <c r="I42" s="74">
        <f t="shared" si="13"/>
        <v>949437</v>
      </c>
      <c r="J42" s="82">
        <f t="shared" si="14"/>
        <v>3.0174475928430775</v>
      </c>
      <c r="K42" s="82">
        <f t="shared" si="15"/>
        <v>2.5472182774313294</v>
      </c>
      <c r="L42" s="74">
        <f t="shared" si="11"/>
        <v>0</v>
      </c>
      <c r="M42" s="75">
        <f t="shared" si="11"/>
        <v>3932395.5766984862</v>
      </c>
      <c r="N42" s="59">
        <f t="shared" si="12"/>
        <v>0</v>
      </c>
      <c r="O42" s="59">
        <f t="shared" si="12"/>
        <v>1543800</v>
      </c>
      <c r="V42" s="74">
        <f t="shared" si="6"/>
        <v>0</v>
      </c>
      <c r="W42" s="75">
        <f t="shared" si="7"/>
        <v>3936689.9999999995</v>
      </c>
      <c r="X42" s="57">
        <f t="shared" si="0"/>
        <v>3.02</v>
      </c>
      <c r="Y42" s="57">
        <f t="shared" si="0"/>
        <v>2.5499999999999998</v>
      </c>
    </row>
    <row r="43" spans="3:25" ht="12" customHeight="1" x14ac:dyDescent="0.3">
      <c r="C43" s="84" t="s">
        <v>70</v>
      </c>
      <c r="D43" s="81">
        <f t="shared" si="10"/>
        <v>720</v>
      </c>
      <c r="E43" s="82">
        <f t="shared" si="10"/>
        <v>1.56</v>
      </c>
      <c r="F43" s="83">
        <v>1370.8333333333333</v>
      </c>
      <c r="G43" s="83">
        <v>0</v>
      </c>
      <c r="H43" s="74">
        <f t="shared" si="16"/>
        <v>769860</v>
      </c>
      <c r="I43" s="74">
        <f t="shared" si="13"/>
        <v>0</v>
      </c>
      <c r="J43" s="82">
        <f t="shared" si="14"/>
        <v>3.8270067031180495</v>
      </c>
      <c r="K43" s="82">
        <f t="shared" si="15"/>
        <v>3.2306183030836375</v>
      </c>
      <c r="L43" s="74">
        <f t="shared" si="11"/>
        <v>3777255.615977515</v>
      </c>
      <c r="M43" s="75">
        <f t="shared" si="11"/>
        <v>0</v>
      </c>
      <c r="N43" s="59">
        <f t="shared" si="12"/>
        <v>987000</v>
      </c>
      <c r="O43" s="59">
        <f t="shared" si="12"/>
        <v>0</v>
      </c>
      <c r="V43" s="74">
        <f t="shared" si="6"/>
        <v>3780210</v>
      </c>
      <c r="W43" s="75">
        <f t="shared" si="7"/>
        <v>0</v>
      </c>
      <c r="X43" s="57">
        <f t="shared" si="0"/>
        <v>3.83</v>
      </c>
      <c r="Y43" s="57">
        <f t="shared" si="0"/>
        <v>3.23</v>
      </c>
    </row>
    <row r="44" spans="3:25" ht="12" customHeight="1" x14ac:dyDescent="0.3">
      <c r="C44" s="84" t="s">
        <v>71</v>
      </c>
      <c r="D44" s="81">
        <f t="shared" si="10"/>
        <v>744</v>
      </c>
      <c r="E44" s="82">
        <f t="shared" si="10"/>
        <v>2.34</v>
      </c>
      <c r="F44" s="83">
        <v>6387.5</v>
      </c>
      <c r="G44" s="83">
        <v>0</v>
      </c>
      <c r="H44" s="74">
        <f t="shared" si="16"/>
        <v>5560190.9999999991</v>
      </c>
      <c r="I44" s="74">
        <f t="shared" si="13"/>
        <v>0</v>
      </c>
      <c r="J44" s="82">
        <f t="shared" si="14"/>
        <v>5.740510054677074</v>
      </c>
      <c r="K44" s="82">
        <f t="shared" si="15"/>
        <v>4.845927454625456</v>
      </c>
      <c r="L44" s="74">
        <f t="shared" si="11"/>
        <v>27280625.93284186</v>
      </c>
      <c r="M44" s="75">
        <f t="shared" si="11"/>
        <v>0</v>
      </c>
      <c r="N44" s="59">
        <f t="shared" si="12"/>
        <v>4752300</v>
      </c>
      <c r="O44" s="59">
        <f t="shared" si="12"/>
        <v>0</v>
      </c>
      <c r="V44" s="74">
        <f t="shared" si="6"/>
        <v>27278202</v>
      </c>
      <c r="W44" s="75">
        <f t="shared" si="7"/>
        <v>0</v>
      </c>
      <c r="X44" s="57">
        <f t="shared" si="0"/>
        <v>5.74</v>
      </c>
      <c r="Y44" s="57">
        <f t="shared" si="0"/>
        <v>4.8499999999999996</v>
      </c>
    </row>
    <row r="45" spans="3:25" ht="12" customHeight="1" x14ac:dyDescent="0.3">
      <c r="C45" s="84" t="s">
        <v>72</v>
      </c>
      <c r="D45" s="81">
        <f t="shared" si="10"/>
        <v>744</v>
      </c>
      <c r="E45" s="82">
        <f t="shared" si="10"/>
        <v>2.97</v>
      </c>
      <c r="F45" s="83">
        <v>5395.833333333333</v>
      </c>
      <c r="G45" s="83">
        <v>0</v>
      </c>
      <c r="H45" s="74">
        <f t="shared" si="16"/>
        <v>5961532.5</v>
      </c>
      <c r="I45" s="74">
        <f t="shared" si="13"/>
        <v>0</v>
      </c>
      <c r="J45" s="82">
        <f t="shared" si="14"/>
        <v>7.2860319924747481</v>
      </c>
      <c r="K45" s="82">
        <f t="shared" si="15"/>
        <v>6.1506002308707721</v>
      </c>
      <c r="L45" s="74">
        <f t="shared" si="11"/>
        <v>29249775.433789875</v>
      </c>
      <c r="M45" s="75">
        <f t="shared" si="11"/>
        <v>0</v>
      </c>
      <c r="N45" s="59">
        <f t="shared" si="12"/>
        <v>4014500</v>
      </c>
      <c r="O45" s="59">
        <f t="shared" si="12"/>
        <v>0</v>
      </c>
      <c r="P45" s="57" t="s">
        <v>73</v>
      </c>
      <c r="V45" s="74">
        <f t="shared" si="6"/>
        <v>29265705</v>
      </c>
      <c r="W45" s="75">
        <f t="shared" si="7"/>
        <v>0</v>
      </c>
      <c r="X45" s="57">
        <f t="shared" si="0"/>
        <v>7.29</v>
      </c>
      <c r="Y45" s="57">
        <f t="shared" si="0"/>
        <v>6.15</v>
      </c>
    </row>
    <row r="46" spans="3:25" ht="12" customHeight="1" x14ac:dyDescent="0.3">
      <c r="C46" s="84" t="s">
        <v>74</v>
      </c>
      <c r="D46" s="81">
        <f t="shared" si="10"/>
        <v>672</v>
      </c>
      <c r="E46" s="82">
        <f t="shared" si="10"/>
        <v>2.09</v>
      </c>
      <c r="F46" s="83">
        <v>4554.166666666667</v>
      </c>
      <c r="G46" s="83">
        <v>0</v>
      </c>
      <c r="H46" s="74">
        <f t="shared" si="16"/>
        <v>3198118.0000000005</v>
      </c>
      <c r="I46" s="74">
        <f t="shared" si="13"/>
        <v>0</v>
      </c>
      <c r="J46" s="82">
        <f t="shared" si="14"/>
        <v>5.1272076984081556</v>
      </c>
      <c r="K46" s="82">
        <f t="shared" si="15"/>
        <v>4.3282001624646167</v>
      </c>
      <c r="L46" s="74">
        <f t="shared" si="11"/>
        <v>15691306.44020832</v>
      </c>
      <c r="M46" s="75">
        <f t="shared" si="11"/>
        <v>0</v>
      </c>
      <c r="N46" s="59">
        <f t="shared" si="12"/>
        <v>3060400</v>
      </c>
      <c r="O46" s="59">
        <f t="shared" si="12"/>
        <v>0</v>
      </c>
      <c r="V46" s="74">
        <f t="shared" si="6"/>
        <v>15699852</v>
      </c>
      <c r="W46" s="75">
        <f t="shared" si="7"/>
        <v>0</v>
      </c>
      <c r="X46" s="57">
        <f t="shared" si="0"/>
        <v>5.13</v>
      </c>
      <c r="Y46" s="57">
        <f t="shared" si="0"/>
        <v>4.33</v>
      </c>
    </row>
    <row r="47" spans="3:25" ht="12" customHeight="1" x14ac:dyDescent="0.3">
      <c r="C47" s="84" t="s">
        <v>75</v>
      </c>
      <c r="D47" s="81">
        <f t="shared" si="10"/>
        <v>744</v>
      </c>
      <c r="E47" s="82">
        <f t="shared" si="10"/>
        <v>1.61</v>
      </c>
      <c r="F47" s="83">
        <v>258.33333333333331</v>
      </c>
      <c r="G47" s="83">
        <v>0</v>
      </c>
      <c r="H47" s="74">
        <f t="shared" si="16"/>
        <v>154721</v>
      </c>
      <c r="I47" s="74">
        <f t="shared" si="13"/>
        <v>0</v>
      </c>
      <c r="J47" s="82">
        <f t="shared" si="14"/>
        <v>3.9496671743718332</v>
      </c>
      <c r="K47" s="82">
        <f t="shared" si="15"/>
        <v>3.3341637615158057</v>
      </c>
      <c r="L47" s="74">
        <f t="shared" si="11"/>
        <v>759126.03091426636</v>
      </c>
      <c r="M47" s="75">
        <f t="shared" si="11"/>
        <v>0</v>
      </c>
      <c r="N47" s="59">
        <f t="shared" si="12"/>
        <v>192200</v>
      </c>
      <c r="O47" s="59">
        <f t="shared" si="12"/>
        <v>0</v>
      </c>
      <c r="V47" s="74">
        <f t="shared" si="6"/>
        <v>759190</v>
      </c>
      <c r="W47" s="75">
        <f t="shared" si="7"/>
        <v>0</v>
      </c>
      <c r="X47" s="57">
        <f t="shared" si="0"/>
        <v>3.95</v>
      </c>
      <c r="Y47" s="57">
        <f t="shared" si="0"/>
        <v>3.33</v>
      </c>
    </row>
    <row r="48" spans="3:25" ht="12" customHeight="1" thickBot="1" x14ac:dyDescent="0.35">
      <c r="C48" s="85" t="s">
        <v>26</v>
      </c>
      <c r="D48" s="86"/>
      <c r="E48" s="87"/>
      <c r="F48" s="88"/>
      <c r="G48" s="88"/>
      <c r="H48" s="88">
        <f>SUM(H10:H47)</f>
        <v>173676144.5</v>
      </c>
      <c r="I48" s="88">
        <f>SUM(I10:I47)</f>
        <v>205737634.97185001</v>
      </c>
      <c r="J48" s="87"/>
      <c r="K48" s="87"/>
      <c r="L48" s="88">
        <f>SUM(L10:L47)</f>
        <v>852127909.19640887</v>
      </c>
      <c r="M48" s="88">
        <f>SUM(M10:M47)</f>
        <v>852127909.19640887</v>
      </c>
      <c r="N48" s="88">
        <f>SUM(N10:N47)</f>
        <v>161640750</v>
      </c>
      <c r="O48" s="88">
        <f>SUM(O10:O47)</f>
        <v>172090639.09</v>
      </c>
      <c r="Q48" s="88">
        <f>SUM(Q10:Q29)</f>
        <v>296798600</v>
      </c>
      <c r="V48" s="88">
        <f>SUM(V10:V47)</f>
        <v>851973594.5</v>
      </c>
      <c r="W48" s="88">
        <f>SUM(W10:W47)</f>
        <v>851620179.36000001</v>
      </c>
    </row>
    <row r="49" spans="2:23" ht="12" customHeight="1" thickTop="1" x14ac:dyDescent="0.3">
      <c r="C49" s="89" t="s">
        <v>76</v>
      </c>
      <c r="D49" s="90"/>
      <c r="F49" s="59">
        <f>F15*$D$15*$D$73+F16*$D$16*$D$74</f>
        <v>1131416</v>
      </c>
      <c r="G49" s="59">
        <f>G15*$D$15*$D$73+G16*$D$16*$D$74</f>
        <v>2572411.9999999995</v>
      </c>
      <c r="J49" s="58"/>
      <c r="K49" s="58"/>
      <c r="L49" s="58"/>
      <c r="M49" s="57">
        <f>M48+L48</f>
        <v>1704255818.3928177</v>
      </c>
      <c r="O49" s="59">
        <f>N48-O48</f>
        <v>-10449889.090000004</v>
      </c>
      <c r="Q49" s="91">
        <v>1.0608134831807217</v>
      </c>
      <c r="W49" s="59">
        <f>V48+W48</f>
        <v>1703593773.8600001</v>
      </c>
    </row>
    <row r="50" spans="2:23" ht="12" customHeight="1" x14ac:dyDescent="0.3">
      <c r="C50" s="89" t="s">
        <v>77</v>
      </c>
      <c r="D50" s="90"/>
      <c r="F50" s="59">
        <f>(F32*$D$32*$E$32+F33*$D$33*$E$33)*E12</f>
        <v>0</v>
      </c>
      <c r="G50" s="59">
        <f>(G32*$D$32*E32+G33*$D$33*E33)*E12</f>
        <v>2842064</v>
      </c>
      <c r="H50" s="92">
        <v>175345817.30000001</v>
      </c>
      <c r="I50" s="92">
        <v>210552051.10115391</v>
      </c>
      <c r="J50" s="58"/>
      <c r="K50" s="58"/>
      <c r="L50" s="58"/>
      <c r="M50" s="58"/>
      <c r="N50" s="57">
        <f>L48/N48</f>
        <v>5.2717393924267792</v>
      </c>
      <c r="Q50" s="91"/>
      <c r="W50" s="59">
        <f>W49-L48-M48</f>
        <v>-662044.53281760216</v>
      </c>
    </row>
    <row r="51" spans="2:23" ht="12" customHeight="1" x14ac:dyDescent="0.3">
      <c r="C51" s="89" t="s">
        <v>78</v>
      </c>
      <c r="D51" s="90"/>
      <c r="F51" s="59">
        <f>(F17*$D$17)*$D$71+(F18*$D$18)*$D$72</f>
        <v>7295647.9999999972</v>
      </c>
      <c r="G51" s="59">
        <f>(G17*$D$17)*$D$71+(G18*$D$18)*$D$72</f>
        <v>47785664</v>
      </c>
      <c r="H51" s="93">
        <f>H48/H50</f>
        <v>0.99047782932202277</v>
      </c>
      <c r="I51" s="93">
        <f>I48/I50</f>
        <v>0.97713431854914135</v>
      </c>
      <c r="L51" s="94">
        <f>L48-F4*1000</f>
        <v>0</v>
      </c>
      <c r="M51" s="94">
        <f>M48-G4*1000</f>
        <v>0</v>
      </c>
    </row>
    <row r="52" spans="2:23" ht="12" customHeight="1" x14ac:dyDescent="0.3">
      <c r="C52" s="89" t="s">
        <v>79</v>
      </c>
      <c r="D52" s="90"/>
      <c r="F52" s="59">
        <f>((F34*$D$34)*$E$34+(F35*$D$35)*$E$35)*E12</f>
        <v>9382947</v>
      </c>
      <c r="G52" s="59">
        <f>((G34*$D$34)*$E$34+(G35*$D$35)*$E$35)*E12</f>
        <v>11472.97185</v>
      </c>
      <c r="H52" s="79">
        <f>H50/H48</f>
        <v>1.0096137141045298</v>
      </c>
      <c r="I52" s="79">
        <f>I50/I48</f>
        <v>1.023400755675852</v>
      </c>
      <c r="L52" s="94"/>
      <c r="M52" s="94"/>
    </row>
    <row r="53" spans="2:23" ht="12" customHeight="1" x14ac:dyDescent="0.3">
      <c r="C53" s="89" t="s">
        <v>80</v>
      </c>
      <c r="D53" s="90"/>
      <c r="F53" s="59">
        <f>F19*$D$19*$D$82+F20*$D$20*$D$83+F21*$D$21*$D$84+F22*$D$22*$D$85+F23*$D$23*$D$86+F24*$D$24*$D$87</f>
        <v>15069920.5</v>
      </c>
      <c r="G53" s="59">
        <f>G19*$D$19*$D$82+G20*$D$20*$D$83+G21*$D$21*$D$84+G22*$D$22*$D$85+G23*$D$23*$D$86+G24*$D$24*$D$87</f>
        <v>6023138</v>
      </c>
      <c r="H53" s="60">
        <f>1-H51</f>
        <v>9.5221706779772264E-3</v>
      </c>
      <c r="I53" s="60">
        <f>1-I51</f>
        <v>2.2865681450858655E-2</v>
      </c>
      <c r="O53" s="59">
        <f>SUM(H48:I48)</f>
        <v>379413779.47185004</v>
      </c>
      <c r="P53" s="59">
        <v>361998751.26411998</v>
      </c>
      <c r="Q53" s="91">
        <f>O53/P53-1</f>
        <v>4.8107978679251762E-2</v>
      </c>
    </row>
    <row r="54" spans="2:23" ht="12" customHeight="1" x14ac:dyDescent="0.3">
      <c r="C54" s="89" t="s">
        <v>81</v>
      </c>
      <c r="D54" s="90"/>
      <c r="F54" s="59">
        <f>(F36*$D$36*$E$36+F37*$D$37*$E$37+F38*$D$38*$E$38+F39*$D$39*$E$39+F40*$D$40*$E$40+F41*$D$41*$E$41)*E12</f>
        <v>111262.5</v>
      </c>
      <c r="G54" s="59">
        <f>(G36*$D$36*$E$36+G37*$D$37*$E$37+G38*$D$38*$E$38+G39*$D$39*$E$39+G40*$D$40*$E$40+G41*$D$41*$E$41)*E12</f>
        <v>2964920</v>
      </c>
      <c r="H54" s="59">
        <f>H53*H50</f>
        <v>1669672.8000000119</v>
      </c>
      <c r="I54" s="59">
        <f>I53*I50</f>
        <v>4814416.1293038987</v>
      </c>
      <c r="Q54" s="91"/>
    </row>
    <row r="55" spans="2:23" ht="12" customHeight="1" x14ac:dyDescent="0.3">
      <c r="C55" s="89" t="s">
        <v>82</v>
      </c>
      <c r="D55" s="90"/>
      <c r="F55" s="59">
        <f>F25*$D$25*$D$76+F26*$D$26*$D$77+F27*$D$27*$D$78+F28*$D$28*$D$79+F29*$D$29*$D$80+F30*$D$30*$D$81</f>
        <v>15266778.000000004</v>
      </c>
      <c r="G55" s="59">
        <f>G25*$D$25*$D$76+G26*$D$26*$D$77+G27*$D$27*$D$78+G28*$D$28*$D$79+G29*$D$29*$D$80+G30*$D$30*$D$81</f>
        <v>34603277</v>
      </c>
      <c r="H55" s="59">
        <f>H50-H54</f>
        <v>173676144.5</v>
      </c>
      <c r="I55" s="59">
        <f>I50-I54</f>
        <v>205737634.97185001</v>
      </c>
    </row>
    <row r="56" spans="2:23" ht="12" customHeight="1" x14ac:dyDescent="0.3">
      <c r="C56" s="89" t="s">
        <v>83</v>
      </c>
      <c r="D56" s="90"/>
      <c r="F56" s="59">
        <f>(F42*$D$42*$E$42+F43*$D$43*$E$43+F44*$D$44*$E$44+F45*$D$45*$E$45+F46*$D$46*$E$46+F47*$D$47*$E$47)*E12</f>
        <v>15644422.5</v>
      </c>
      <c r="G56" s="59">
        <f>(G42*$D$42*$E$42+G43*$D$43*$E$43+G44*$D$44*$E$44+G45*$D$45*$E$45+G46*$D$46*$E$46+G47*$D$47*$E$47)*E12</f>
        <v>949437</v>
      </c>
    </row>
    <row r="57" spans="2:23" ht="12" customHeight="1" x14ac:dyDescent="0.3">
      <c r="C57" s="89" t="s">
        <v>84</v>
      </c>
      <c r="D57" s="90"/>
      <c r="H57" s="92">
        <v>121107000</v>
      </c>
      <c r="I57" s="92">
        <v>95703000</v>
      </c>
    </row>
    <row r="58" spans="2:23" ht="12" customHeight="1" x14ac:dyDescent="0.3">
      <c r="C58" s="89" t="s">
        <v>85</v>
      </c>
      <c r="D58" s="90"/>
      <c r="H58" s="60">
        <f>H10/H57</f>
        <v>0.90476190476190466</v>
      </c>
      <c r="I58" s="60">
        <f>I10/I57</f>
        <v>1.1277650648360031</v>
      </c>
    </row>
    <row r="59" spans="2:23" ht="12" customHeight="1" x14ac:dyDescent="0.3">
      <c r="C59" s="58" t="s">
        <v>86</v>
      </c>
      <c r="F59" s="59">
        <f>SUM(F49:F58)</f>
        <v>63902394.5</v>
      </c>
      <c r="G59" s="59">
        <f>SUM(G49:G58)</f>
        <v>97752384.971850008</v>
      </c>
    </row>
    <row r="60" spans="2:23" ht="12" customHeight="1" x14ac:dyDescent="0.3">
      <c r="F60" s="59">
        <f>F10*D10+F11*D11*E11</f>
        <v>109773749.99999999</v>
      </c>
      <c r="G60" s="59">
        <f>G10*D10+G12*D12*E12</f>
        <v>107985250</v>
      </c>
    </row>
    <row r="61" spans="2:23" ht="15.9" customHeight="1" x14ac:dyDescent="0.35">
      <c r="B61" s="95" t="s">
        <v>87</v>
      </c>
      <c r="C61" s="96"/>
      <c r="D61" s="97"/>
      <c r="E61" s="97"/>
      <c r="F61" s="97" t="s">
        <v>73</v>
      </c>
      <c r="G61" s="97" t="s">
        <v>73</v>
      </c>
      <c r="H61" s="97"/>
      <c r="I61" s="97"/>
      <c r="J61" s="98" t="s">
        <v>88</v>
      </c>
    </row>
    <row r="62" spans="2:23" ht="15.9" customHeight="1" x14ac:dyDescent="0.35">
      <c r="B62" s="95"/>
      <c r="C62" s="96"/>
      <c r="D62" s="97"/>
      <c r="E62" s="97"/>
      <c r="F62" s="97"/>
      <c r="G62" s="97"/>
      <c r="H62" s="97"/>
      <c r="I62" s="97"/>
      <c r="J62" s="98"/>
    </row>
    <row r="63" spans="2:23" ht="12" customHeight="1" x14ac:dyDescent="0.35">
      <c r="B63" s="221" t="s">
        <v>194</v>
      </c>
      <c r="C63" s="221"/>
      <c r="D63" s="221"/>
      <c r="E63" s="221"/>
      <c r="F63" s="221"/>
      <c r="G63" s="221"/>
      <c r="H63" s="221"/>
      <c r="I63" s="221"/>
      <c r="J63" s="221"/>
      <c r="T63" s="222" t="s">
        <v>90</v>
      </c>
      <c r="U63" s="222"/>
    </row>
    <row r="64" spans="2:23" ht="12" customHeight="1" thickBot="1" x14ac:dyDescent="0.35">
      <c r="T64" s="99">
        <v>0.2171120293888904</v>
      </c>
      <c r="U64" s="99">
        <v>0.21711202938889129</v>
      </c>
    </row>
    <row r="65" spans="2:21" ht="40.799999999999997" thickTop="1" thickBot="1" x14ac:dyDescent="0.35">
      <c r="B65" s="100" t="s">
        <v>91</v>
      </c>
      <c r="C65" s="101" t="s">
        <v>92</v>
      </c>
      <c r="D65" s="102" t="s">
        <v>93</v>
      </c>
      <c r="E65" s="103" t="s">
        <v>94</v>
      </c>
      <c r="F65" s="104" t="s">
        <v>95</v>
      </c>
      <c r="G65" s="104" t="s">
        <v>96</v>
      </c>
      <c r="H65" s="104" t="s">
        <v>94</v>
      </c>
      <c r="I65" s="104" t="s">
        <v>95</v>
      </c>
      <c r="J65" s="105" t="s">
        <v>96</v>
      </c>
      <c r="O65" s="223" t="s">
        <v>97</v>
      </c>
      <c r="P65" s="223"/>
      <c r="R65" s="223" t="s">
        <v>98</v>
      </c>
      <c r="S65" s="223"/>
      <c r="T65" s="223" t="s">
        <v>99</v>
      </c>
      <c r="U65" s="223"/>
    </row>
    <row r="66" spans="2:21" ht="13.2" x14ac:dyDescent="0.3">
      <c r="B66" s="106">
        <v>1</v>
      </c>
      <c r="C66" s="107" t="s">
        <v>100</v>
      </c>
      <c r="D66" s="108">
        <v>1</v>
      </c>
      <c r="E66" s="109" t="s">
        <v>101</v>
      </c>
      <c r="F66" s="110">
        <f>F4/(F10*D10+F11*D11*E11+F59)*1000</f>
        <v>4.9064188501513453</v>
      </c>
      <c r="G66" s="111">
        <f>G4/(G10*D10+G12*D12*E12+G59)*1000</f>
        <v>4.1418183372867148</v>
      </c>
      <c r="H66" s="111" t="s">
        <v>102</v>
      </c>
      <c r="I66" s="110">
        <f t="shared" ref="I66:J69" si="17">F66*$D$10</f>
        <v>42980.229127325787</v>
      </c>
      <c r="J66" s="112">
        <f t="shared" si="17"/>
        <v>36282.328634631624</v>
      </c>
      <c r="L66" s="113">
        <f>F66-J10</f>
        <v>0</v>
      </c>
      <c r="M66" s="113">
        <f>G66-K10</f>
        <v>0</v>
      </c>
      <c r="O66" s="57">
        <v>0.91360719839024718</v>
      </c>
      <c r="P66" s="57">
        <v>0.81664140957937992</v>
      </c>
      <c r="R66" s="57">
        <v>3.9928116517610981</v>
      </c>
      <c r="S66" s="57">
        <v>3.3251769277073349</v>
      </c>
      <c r="T66" s="60">
        <f t="shared" ref="T66:U69" si="18">F66/R66-1</f>
        <v>0.22881299647261977</v>
      </c>
      <c r="U66" s="60">
        <f t="shared" si="18"/>
        <v>0.24559337061876074</v>
      </c>
    </row>
    <row r="67" spans="2:21" ht="13.2" x14ac:dyDescent="0.3">
      <c r="B67" s="114">
        <f>B66+1</f>
        <v>2</v>
      </c>
      <c r="C67" s="115" t="s">
        <v>103</v>
      </c>
      <c r="D67" s="116">
        <v>0.5</v>
      </c>
      <c r="E67" s="117" t="s">
        <v>101</v>
      </c>
      <c r="F67" s="118">
        <f>F66*D67</f>
        <v>2.4532094250756726</v>
      </c>
      <c r="G67" s="119">
        <f>G66*D67</f>
        <v>2.0709091686433574</v>
      </c>
      <c r="H67" s="119" t="s">
        <v>102</v>
      </c>
      <c r="I67" s="118">
        <f t="shared" si="17"/>
        <v>21490.114563662893</v>
      </c>
      <c r="J67" s="120">
        <f t="shared" si="17"/>
        <v>18141.164317315812</v>
      </c>
      <c r="L67" s="113">
        <f>F67-J11</f>
        <v>0</v>
      </c>
      <c r="M67" s="113">
        <f>G67-K12</f>
        <v>0</v>
      </c>
      <c r="O67" s="57">
        <v>0.45680359919512359</v>
      </c>
      <c r="P67" s="57">
        <v>0.40832070478968996</v>
      </c>
      <c r="R67" s="57">
        <v>1.996405825880549</v>
      </c>
      <c r="S67" s="57">
        <v>1.6625884638536674</v>
      </c>
      <c r="T67" s="60">
        <f t="shared" si="18"/>
        <v>0.22881299647261977</v>
      </c>
      <c r="U67" s="60">
        <f t="shared" si="18"/>
        <v>0.24559337061876074</v>
      </c>
    </row>
    <row r="68" spans="2:21" ht="13.2" x14ac:dyDescent="0.3">
      <c r="B68" s="114">
        <f t="shared" ref="B68:B131" si="19">B67+1</f>
        <v>3</v>
      </c>
      <c r="C68" s="115" t="s">
        <v>104</v>
      </c>
      <c r="D68" s="116">
        <v>1</v>
      </c>
      <c r="E68" s="117" t="s">
        <v>101</v>
      </c>
      <c r="F68" s="118">
        <f t="shared" ref="F68:F100" si="20">$F$66*D68</f>
        <v>4.9064188501513453</v>
      </c>
      <c r="G68" s="118">
        <f t="shared" ref="G68:G100" si="21">$G$66*D68</f>
        <v>4.1418183372867148</v>
      </c>
      <c r="H68" s="119" t="s">
        <v>102</v>
      </c>
      <c r="I68" s="118">
        <f t="shared" si="17"/>
        <v>42980.229127325787</v>
      </c>
      <c r="J68" s="120">
        <f t="shared" si="17"/>
        <v>36282.328634631624</v>
      </c>
      <c r="L68" s="113">
        <f>J10-F68</f>
        <v>0</v>
      </c>
      <c r="M68" s="113">
        <f>K10-G68</f>
        <v>0</v>
      </c>
      <c r="O68" s="57">
        <v>0.91360719839024718</v>
      </c>
      <c r="P68" s="57">
        <v>0.81664140957937992</v>
      </c>
      <c r="R68" s="57">
        <v>3.9928116517610981</v>
      </c>
      <c r="S68" s="57">
        <v>3.3251769277073349</v>
      </c>
      <c r="T68" s="60">
        <f t="shared" si="18"/>
        <v>0.22881299647261977</v>
      </c>
      <c r="U68" s="60">
        <f t="shared" si="18"/>
        <v>0.24559337061876074</v>
      </c>
    </row>
    <row r="69" spans="2:21" ht="13.8" thickBot="1" x14ac:dyDescent="0.35">
      <c r="B69" s="121">
        <f t="shared" si="19"/>
        <v>4</v>
      </c>
      <c r="C69" s="122" t="s">
        <v>105</v>
      </c>
      <c r="D69" s="123">
        <f>D67</f>
        <v>0.5</v>
      </c>
      <c r="E69" s="124" t="s">
        <v>101</v>
      </c>
      <c r="F69" s="125">
        <f>F67</f>
        <v>2.4532094250756726</v>
      </c>
      <c r="G69" s="125">
        <f>G67</f>
        <v>2.0709091686433574</v>
      </c>
      <c r="H69" s="126" t="s">
        <v>102</v>
      </c>
      <c r="I69" s="125">
        <f t="shared" si="17"/>
        <v>21490.114563662893</v>
      </c>
      <c r="J69" s="127">
        <f t="shared" si="17"/>
        <v>18141.164317315812</v>
      </c>
      <c r="L69" s="113">
        <f>F69-J11</f>
        <v>0</v>
      </c>
      <c r="M69" s="113">
        <f>G69-K12</f>
        <v>0</v>
      </c>
      <c r="O69" s="57">
        <v>0.45680359919512359</v>
      </c>
      <c r="P69" s="57">
        <v>0.40832070478968996</v>
      </c>
      <c r="R69" s="57">
        <v>1.996405825880549</v>
      </c>
      <c r="S69" s="57">
        <v>1.6625884638536674</v>
      </c>
      <c r="T69" s="60">
        <f t="shared" si="18"/>
        <v>0.22881299647261977</v>
      </c>
      <c r="U69" s="60">
        <f t="shared" si="18"/>
        <v>0.24559337061876074</v>
      </c>
    </row>
    <row r="70" spans="2:21" ht="13.8" thickBot="1" x14ac:dyDescent="0.35">
      <c r="B70" s="207" t="s">
        <v>106</v>
      </c>
      <c r="C70" s="208"/>
      <c r="D70" s="208"/>
      <c r="E70" s="208"/>
      <c r="F70" s="208"/>
      <c r="G70" s="208"/>
      <c r="H70" s="208"/>
      <c r="I70" s="208"/>
      <c r="J70" s="209"/>
      <c r="L70" s="113"/>
      <c r="M70" s="113"/>
    </row>
    <row r="71" spans="2:21" ht="13.2" x14ac:dyDescent="0.3">
      <c r="B71" s="106">
        <f>B69+1</f>
        <v>5</v>
      </c>
      <c r="C71" s="107" t="s">
        <v>107</v>
      </c>
      <c r="D71" s="108">
        <v>1.48</v>
      </c>
      <c r="E71" s="109" t="s">
        <v>101</v>
      </c>
      <c r="F71" s="110">
        <f t="shared" si="20"/>
        <v>7.2614998982239909</v>
      </c>
      <c r="G71" s="110">
        <f t="shared" si="21"/>
        <v>6.1298911391843376</v>
      </c>
      <c r="H71" s="110" t="s">
        <v>108</v>
      </c>
      <c r="I71" s="110">
        <f>F71*$D$17</f>
        <v>16033.391775278571</v>
      </c>
      <c r="J71" s="112">
        <f>G71*$D$17</f>
        <v>13534.799635319017</v>
      </c>
      <c r="K71" s="128">
        <f>F66*D71</f>
        <v>7.2614998982239909</v>
      </c>
      <c r="L71" s="113">
        <f>F71-J17</f>
        <v>0</v>
      </c>
      <c r="M71" s="113">
        <f>G71-K17</f>
        <v>0</v>
      </c>
      <c r="O71" s="57">
        <v>0.39386385719490224</v>
      </c>
      <c r="P71" s="57">
        <v>0.41058682352772191</v>
      </c>
      <c r="R71" s="57">
        <v>6.8676360410290886</v>
      </c>
      <c r="S71" s="57">
        <v>5.7193043156566157</v>
      </c>
      <c r="T71" s="60">
        <f t="shared" ref="T71:U74" si="22">F71/R71-1</f>
        <v>5.7350717895044978E-2</v>
      </c>
      <c r="U71" s="60">
        <f t="shared" si="22"/>
        <v>7.178964448591052E-2</v>
      </c>
    </row>
    <row r="72" spans="2:21" s="59" customFormat="1" ht="13.2" x14ac:dyDescent="0.3">
      <c r="B72" s="114">
        <f t="shared" si="19"/>
        <v>6</v>
      </c>
      <c r="C72" s="115" t="s">
        <v>109</v>
      </c>
      <c r="D72" s="116">
        <v>1.93</v>
      </c>
      <c r="E72" s="117" t="s">
        <v>101</v>
      </c>
      <c r="F72" s="118">
        <f t="shared" si="20"/>
        <v>9.4693883807920969</v>
      </c>
      <c r="G72" s="118">
        <f t="shared" si="21"/>
        <v>7.9937093909633594</v>
      </c>
      <c r="H72" s="118" t="s">
        <v>108</v>
      </c>
      <c r="I72" s="118">
        <f>F72*$D$18</f>
        <v>20453.878902510929</v>
      </c>
      <c r="J72" s="120">
        <f>G72*$D$18</f>
        <v>17266.412284480855</v>
      </c>
      <c r="L72" s="113">
        <f>F72-J18</f>
        <v>0</v>
      </c>
      <c r="M72" s="113">
        <f>G72-K18</f>
        <v>0</v>
      </c>
      <c r="O72" s="57">
        <v>1.883046242446011</v>
      </c>
      <c r="P72" s="57">
        <v>1.6758732283194231</v>
      </c>
      <c r="R72" s="57">
        <v>7.5863421383460858</v>
      </c>
      <c r="S72" s="57">
        <v>6.3178361626439363</v>
      </c>
      <c r="T72" s="60">
        <f t="shared" si="22"/>
        <v>0.24821530694324023</v>
      </c>
      <c r="U72" s="60">
        <f t="shared" si="22"/>
        <v>0.26526063436537273</v>
      </c>
    </row>
    <row r="73" spans="2:21" s="59" customFormat="1" ht="13.2" x14ac:dyDescent="0.3">
      <c r="B73" s="114">
        <f t="shared" si="19"/>
        <v>7</v>
      </c>
      <c r="C73" s="115" t="s">
        <v>110</v>
      </c>
      <c r="D73" s="116">
        <v>0.92</v>
      </c>
      <c r="E73" s="117" t="s">
        <v>101</v>
      </c>
      <c r="F73" s="118">
        <f>$F$66*D73</f>
        <v>4.5139053421392381</v>
      </c>
      <c r="G73" s="118">
        <f>$G$66*D73</f>
        <v>3.8104728703037778</v>
      </c>
      <c r="H73" s="118" t="s">
        <v>108</v>
      </c>
      <c r="I73" s="118">
        <f>F73*$D$15</f>
        <v>9858.3692672320958</v>
      </c>
      <c r="J73" s="120">
        <f>G73*$D$15</f>
        <v>8322.0727487434506</v>
      </c>
      <c r="L73" s="113">
        <f>F73-J15</f>
        <v>0</v>
      </c>
      <c r="M73" s="113">
        <f>G73-K15</f>
        <v>0</v>
      </c>
      <c r="O73" s="57">
        <v>1.6790090693888584</v>
      </c>
      <c r="P73" s="57">
        <v>1.44959725163157</v>
      </c>
      <c r="R73" s="57">
        <v>2.8348962727503797</v>
      </c>
      <c r="S73" s="57">
        <v>2.3608756186722077</v>
      </c>
      <c r="T73" s="60">
        <f t="shared" si="22"/>
        <v>0.59226472782367634</v>
      </c>
      <c r="U73" s="60">
        <f t="shared" si="22"/>
        <v>0.61400831122430977</v>
      </c>
    </row>
    <row r="74" spans="2:21" s="59" customFormat="1" ht="13.8" thickBot="1" x14ac:dyDescent="0.35">
      <c r="B74" s="121">
        <f t="shared" si="19"/>
        <v>8</v>
      </c>
      <c r="C74" s="122" t="s">
        <v>111</v>
      </c>
      <c r="D74" s="123">
        <v>0.87</v>
      </c>
      <c r="E74" s="124" t="s">
        <v>101</v>
      </c>
      <c r="F74" s="125">
        <f>$F$66*D74</f>
        <v>4.2685843996316706</v>
      </c>
      <c r="G74" s="125">
        <f>$G$66*D74</f>
        <v>3.6033819534394418</v>
      </c>
      <c r="H74" s="125" t="s">
        <v>108</v>
      </c>
      <c r="I74" s="125">
        <f>F74*$D$16</f>
        <v>9425.0343543867293</v>
      </c>
      <c r="J74" s="127">
        <f>G74*$D$16</f>
        <v>7956.2673531942874</v>
      </c>
      <c r="L74" s="113">
        <f>F74-J16</f>
        <v>0</v>
      </c>
      <c r="M74" s="113">
        <f>G74-K16</f>
        <v>0</v>
      </c>
      <c r="O74" s="57">
        <v>0.7948382625995154</v>
      </c>
      <c r="P74" s="57">
        <v>0.71047802633406043</v>
      </c>
      <c r="R74" s="57">
        <v>3.4737461370321552</v>
      </c>
      <c r="S74" s="57">
        <v>2.8929039271053814</v>
      </c>
      <c r="T74" s="60">
        <f t="shared" si="22"/>
        <v>0.22881299647261977</v>
      </c>
      <c r="U74" s="60">
        <f t="shared" si="22"/>
        <v>0.24559337061876074</v>
      </c>
    </row>
    <row r="75" spans="2:21" s="59" customFormat="1" ht="13.8" thickBot="1" x14ac:dyDescent="0.35">
      <c r="B75" s="207" t="s">
        <v>112</v>
      </c>
      <c r="C75" s="208"/>
      <c r="D75" s="208"/>
      <c r="E75" s="208"/>
      <c r="F75" s="208"/>
      <c r="G75" s="208"/>
      <c r="H75" s="208"/>
      <c r="I75" s="208"/>
      <c r="J75" s="209"/>
      <c r="L75" s="113"/>
      <c r="M75" s="113"/>
    </row>
    <row r="76" spans="2:21" s="59" customFormat="1" ht="13.2" x14ac:dyDescent="0.3">
      <c r="B76" s="106">
        <f>B74+1</f>
        <v>9</v>
      </c>
      <c r="C76" s="107" t="s">
        <v>113</v>
      </c>
      <c r="D76" s="108">
        <v>1.23</v>
      </c>
      <c r="E76" s="109" t="s">
        <v>101</v>
      </c>
      <c r="F76" s="110">
        <f t="shared" si="20"/>
        <v>6.034895185686155</v>
      </c>
      <c r="G76" s="110">
        <f t="shared" si="21"/>
        <v>5.0944365548626589</v>
      </c>
      <c r="H76" s="110" t="s">
        <v>114</v>
      </c>
      <c r="I76" s="110">
        <f>F76*$D$25</f>
        <v>4489.9620181504997</v>
      </c>
      <c r="J76" s="112">
        <f>G76*$D$25</f>
        <v>3790.2607968178181</v>
      </c>
      <c r="L76" s="113">
        <f t="shared" ref="L76:M81" si="23">F76-J25</f>
        <v>0</v>
      </c>
      <c r="M76" s="113">
        <f t="shared" si="23"/>
        <v>0</v>
      </c>
      <c r="O76" s="57">
        <v>0.68452757232628336</v>
      </c>
      <c r="P76" s="57">
        <v>0.63869947173482977</v>
      </c>
      <c r="R76" s="57">
        <v>5.3503676133598717</v>
      </c>
      <c r="S76" s="57">
        <v>4.4557370831278291</v>
      </c>
      <c r="T76" s="60">
        <f t="shared" ref="T76:U87" si="24">F76/R76-1</f>
        <v>0.12794028780695688</v>
      </c>
      <c r="U76" s="60">
        <f t="shared" si="24"/>
        <v>0.14334316855304152</v>
      </c>
    </row>
    <row r="77" spans="2:21" s="59" customFormat="1" ht="13.2" x14ac:dyDescent="0.3">
      <c r="B77" s="114">
        <f t="shared" si="19"/>
        <v>10</v>
      </c>
      <c r="C77" s="115" t="s">
        <v>115</v>
      </c>
      <c r="D77" s="116">
        <v>1.56</v>
      </c>
      <c r="E77" s="117" t="s">
        <v>101</v>
      </c>
      <c r="F77" s="118">
        <f t="shared" si="20"/>
        <v>7.6540134062360989</v>
      </c>
      <c r="G77" s="118">
        <f t="shared" si="21"/>
        <v>6.461236606167275</v>
      </c>
      <c r="H77" s="118" t="s">
        <v>114</v>
      </c>
      <c r="I77" s="118">
        <f>F77*$D$26</f>
        <v>5510.889652489991</v>
      </c>
      <c r="J77" s="120">
        <f>G77*$D$26</f>
        <v>4652.090356440438</v>
      </c>
      <c r="L77" s="113">
        <f t="shared" si="23"/>
        <v>0</v>
      </c>
      <c r="M77" s="113">
        <f t="shared" si="23"/>
        <v>0</v>
      </c>
      <c r="O77" s="57">
        <v>-1.2184965145209503E-2</v>
      </c>
      <c r="P77" s="57">
        <v>7.6896904969192548E-2</v>
      </c>
      <c r="R77" s="57">
        <v>7.6661983713813084</v>
      </c>
      <c r="S77" s="57">
        <v>6.3843397011980825</v>
      </c>
      <c r="T77" s="60">
        <f t="shared" si="24"/>
        <v>-1.5894403659963974E-3</v>
      </c>
      <c r="U77" s="60">
        <f t="shared" si="24"/>
        <v>1.2044613627743228E-2</v>
      </c>
    </row>
    <row r="78" spans="2:21" s="59" customFormat="1" ht="13.2" x14ac:dyDescent="0.3">
      <c r="B78" s="114">
        <f t="shared" si="19"/>
        <v>11</v>
      </c>
      <c r="C78" s="115" t="s">
        <v>116</v>
      </c>
      <c r="D78" s="116">
        <v>2.34</v>
      </c>
      <c r="E78" s="117" t="s">
        <v>101</v>
      </c>
      <c r="F78" s="118">
        <f t="shared" si="20"/>
        <v>11.481020109354148</v>
      </c>
      <c r="G78" s="118">
        <f t="shared" si="21"/>
        <v>9.6918549092509121</v>
      </c>
      <c r="H78" s="118" t="s">
        <v>114</v>
      </c>
      <c r="I78" s="118">
        <f>F78*$D$27</f>
        <v>8541.8789613594854</v>
      </c>
      <c r="J78" s="120">
        <f>G78*$D$27</f>
        <v>7210.7400524826789</v>
      </c>
      <c r="L78" s="113">
        <f t="shared" si="23"/>
        <v>0</v>
      </c>
      <c r="M78" s="113">
        <f t="shared" si="23"/>
        <v>0</v>
      </c>
      <c r="O78" s="57">
        <v>0.70042864959918205</v>
      </c>
      <c r="P78" s="57">
        <v>0.71387720444110769</v>
      </c>
      <c r="R78" s="57">
        <v>10.780591459754966</v>
      </c>
      <c r="S78" s="57">
        <v>8.9779777048098044</v>
      </c>
      <c r="T78" s="60">
        <f t="shared" si="24"/>
        <v>6.4971263609603591E-2</v>
      </c>
      <c r="U78" s="60">
        <f t="shared" si="24"/>
        <v>7.9514254536259266E-2</v>
      </c>
    </row>
    <row r="79" spans="2:21" s="59" customFormat="1" ht="13.2" x14ac:dyDescent="0.3">
      <c r="B79" s="114">
        <f t="shared" si="19"/>
        <v>12</v>
      </c>
      <c r="C79" s="115" t="s">
        <v>117</v>
      </c>
      <c r="D79" s="116">
        <v>2.97</v>
      </c>
      <c r="E79" s="117" t="s">
        <v>101</v>
      </c>
      <c r="F79" s="118">
        <f t="shared" si="20"/>
        <v>14.572063984949496</v>
      </c>
      <c r="G79" s="118">
        <f t="shared" si="21"/>
        <v>12.301200461741544</v>
      </c>
      <c r="H79" s="118" t="s">
        <v>114</v>
      </c>
      <c r="I79" s="118">
        <f>F79*$D$28</f>
        <v>10841.615604802426</v>
      </c>
      <c r="J79" s="120">
        <f>G79*$D$28</f>
        <v>9152.0931435357088</v>
      </c>
      <c r="L79" s="113">
        <f t="shared" si="23"/>
        <v>0</v>
      </c>
      <c r="M79" s="113">
        <f t="shared" si="23"/>
        <v>0</v>
      </c>
      <c r="O79" s="57">
        <v>2.6734852627014245</v>
      </c>
      <c r="P79" s="57">
        <v>2.3921732171736867</v>
      </c>
      <c r="R79" s="57">
        <v>11.898578722248072</v>
      </c>
      <c r="S79" s="57">
        <v>9.9090272445678576</v>
      </c>
      <c r="T79" s="60">
        <f t="shared" si="24"/>
        <v>0.22468946292740966</v>
      </c>
      <c r="U79" s="60">
        <f t="shared" si="24"/>
        <v>0.24141352709319475</v>
      </c>
    </row>
    <row r="80" spans="2:21" s="59" customFormat="1" ht="13.2" x14ac:dyDescent="0.3">
      <c r="B80" s="114">
        <f t="shared" si="19"/>
        <v>13</v>
      </c>
      <c r="C80" s="115" t="s">
        <v>118</v>
      </c>
      <c r="D80" s="116">
        <v>2.09</v>
      </c>
      <c r="E80" s="117" t="s">
        <v>101</v>
      </c>
      <c r="F80" s="118">
        <f t="shared" si="20"/>
        <v>10.254415396816311</v>
      </c>
      <c r="G80" s="118">
        <f t="shared" si="21"/>
        <v>8.6564003249292334</v>
      </c>
      <c r="H80" s="118" t="s">
        <v>114</v>
      </c>
      <c r="I80" s="118">
        <f>F80*$D$29</f>
        <v>6890.9671466605614</v>
      </c>
      <c r="J80" s="120">
        <f>G80*$D$29</f>
        <v>5817.101018352445</v>
      </c>
      <c r="L80" s="113">
        <f t="shared" si="23"/>
        <v>0</v>
      </c>
      <c r="M80" s="113">
        <f t="shared" si="23"/>
        <v>0</v>
      </c>
      <c r="O80" s="57">
        <v>2.388576442846948</v>
      </c>
      <c r="P80" s="57">
        <v>2.1058017773457838</v>
      </c>
      <c r="R80" s="57">
        <v>7.8658389539693632</v>
      </c>
      <c r="S80" s="57">
        <v>6.5505985475834496</v>
      </c>
      <c r="T80" s="60">
        <f t="shared" si="24"/>
        <v>0.30366454955724631</v>
      </c>
      <c r="U80" s="60">
        <f t="shared" si="24"/>
        <v>0.32146707847371059</v>
      </c>
    </row>
    <row r="81" spans="2:21" s="59" customFormat="1" ht="13.2" x14ac:dyDescent="0.3">
      <c r="B81" s="114">
        <f t="shared" si="19"/>
        <v>14</v>
      </c>
      <c r="C81" s="115" t="s">
        <v>119</v>
      </c>
      <c r="D81" s="116">
        <v>1.61</v>
      </c>
      <c r="E81" s="117" t="s">
        <v>101</v>
      </c>
      <c r="F81" s="118">
        <f t="shared" si="20"/>
        <v>7.8993343487436665</v>
      </c>
      <c r="G81" s="118">
        <f t="shared" si="21"/>
        <v>6.6683275230316115</v>
      </c>
      <c r="H81" s="118" t="s">
        <v>114</v>
      </c>
      <c r="I81" s="118">
        <f>F81*$D$30</f>
        <v>5877.1047554652878</v>
      </c>
      <c r="J81" s="120">
        <f>G81*$D$30</f>
        <v>4961.2356771355189</v>
      </c>
      <c r="L81" s="113">
        <f t="shared" si="23"/>
        <v>0</v>
      </c>
      <c r="M81" s="113">
        <f t="shared" si="23"/>
        <v>0</v>
      </c>
      <c r="O81" s="57">
        <v>1.3511232398554656</v>
      </c>
      <c r="P81" s="57">
        <v>1.215037361591583</v>
      </c>
      <c r="R81" s="57">
        <v>6.5482111088882009</v>
      </c>
      <c r="S81" s="57">
        <v>5.4532901614400284</v>
      </c>
      <c r="T81" s="60">
        <f t="shared" si="24"/>
        <v>0.20633470995177916</v>
      </c>
      <c r="U81" s="60">
        <f t="shared" si="24"/>
        <v>0.22280812603427158</v>
      </c>
    </row>
    <row r="82" spans="2:21" s="59" customFormat="1" ht="13.2" x14ac:dyDescent="0.3">
      <c r="B82" s="114">
        <f t="shared" si="19"/>
        <v>15</v>
      </c>
      <c r="C82" s="115" t="s">
        <v>120</v>
      </c>
      <c r="D82" s="116">
        <v>1.29</v>
      </c>
      <c r="E82" s="117" t="s">
        <v>101</v>
      </c>
      <c r="F82" s="118">
        <f t="shared" si="20"/>
        <v>6.3292803166952352</v>
      </c>
      <c r="G82" s="118">
        <f t="shared" si="21"/>
        <v>5.3429456550998626</v>
      </c>
      <c r="H82" s="118" t="s">
        <v>114</v>
      </c>
      <c r="I82" s="118">
        <f>F82*$D$19</f>
        <v>4557.0818280205694</v>
      </c>
      <c r="J82" s="120">
        <f>G82*$D$19</f>
        <v>3846.9208716719013</v>
      </c>
      <c r="L82" s="113">
        <f t="shared" ref="L82:M87" si="25">F82-J19</f>
        <v>0</v>
      </c>
      <c r="M82" s="113">
        <f t="shared" si="25"/>
        <v>0</v>
      </c>
      <c r="O82" s="57">
        <v>2.6558935970750248</v>
      </c>
      <c r="P82" s="57">
        <v>2.2837828816091146</v>
      </c>
      <c r="R82" s="57">
        <v>3.6733867196202104</v>
      </c>
      <c r="S82" s="57">
        <v>3.0591627734907481</v>
      </c>
      <c r="T82" s="60">
        <f t="shared" si="24"/>
        <v>0.72300952766269488</v>
      </c>
      <c r="U82" s="60">
        <f t="shared" si="24"/>
        <v>0.74653853054152353</v>
      </c>
    </row>
    <row r="83" spans="2:21" s="59" customFormat="1" ht="13.2" x14ac:dyDescent="0.3">
      <c r="B83" s="114">
        <f t="shared" si="19"/>
        <v>16</v>
      </c>
      <c r="C83" s="115" t="s">
        <v>121</v>
      </c>
      <c r="D83" s="116">
        <v>1.0900000000000001</v>
      </c>
      <c r="E83" s="117" t="s">
        <v>101</v>
      </c>
      <c r="F83" s="118">
        <f t="shared" si="20"/>
        <v>5.3479965466649668</v>
      </c>
      <c r="G83" s="118">
        <f t="shared" si="21"/>
        <v>4.5145819876425195</v>
      </c>
      <c r="H83" s="118" t="s">
        <v>114</v>
      </c>
      <c r="I83" s="118">
        <f>F83*$D$20</f>
        <v>3978.9094307187352</v>
      </c>
      <c r="J83" s="120">
        <f>G83*$D$20</f>
        <v>3358.8489988060346</v>
      </c>
      <c r="L83" s="113">
        <f t="shared" si="25"/>
        <v>0</v>
      </c>
      <c r="M83" s="113">
        <f t="shared" si="25"/>
        <v>0</v>
      </c>
      <c r="O83" s="57">
        <v>2.0738909922208664</v>
      </c>
      <c r="P83" s="57">
        <v>1.7879369069225053</v>
      </c>
      <c r="R83" s="57">
        <v>3.2741055544441005</v>
      </c>
      <c r="S83" s="57">
        <v>2.7266450807200142</v>
      </c>
      <c r="T83" s="60">
        <f t="shared" si="24"/>
        <v>0.63342215384775069</v>
      </c>
      <c r="U83" s="60">
        <f t="shared" si="24"/>
        <v>0.65572777313957276</v>
      </c>
    </row>
    <row r="84" spans="2:21" s="59" customFormat="1" ht="13.2" x14ac:dyDescent="0.3">
      <c r="B84" s="114">
        <f t="shared" si="19"/>
        <v>17</v>
      </c>
      <c r="C84" s="115" t="s">
        <v>122</v>
      </c>
      <c r="D84" s="116">
        <v>0.79</v>
      </c>
      <c r="E84" s="117" t="s">
        <v>101</v>
      </c>
      <c r="F84" s="118">
        <f t="shared" si="20"/>
        <v>3.876070891619563</v>
      </c>
      <c r="G84" s="118">
        <f t="shared" si="21"/>
        <v>3.2720364864565048</v>
      </c>
      <c r="H84" s="118" t="s">
        <v>114</v>
      </c>
      <c r="I84" s="118">
        <f>F84*$D$21</f>
        <v>2790.7710419660852</v>
      </c>
      <c r="J84" s="120">
        <f>G84*$D$21</f>
        <v>2355.8662702486836</v>
      </c>
      <c r="L84" s="113">
        <f t="shared" si="25"/>
        <v>0</v>
      </c>
      <c r="M84" s="113">
        <f t="shared" si="25"/>
        <v>0</v>
      </c>
      <c r="O84" s="57">
        <v>1.0411746188691833</v>
      </c>
      <c r="P84" s="57">
        <v>0.91116086778429706</v>
      </c>
      <c r="R84" s="57">
        <v>2.8348962727503797</v>
      </c>
      <c r="S84" s="57">
        <v>2.3608756186722077</v>
      </c>
      <c r="T84" s="60">
        <f t="shared" si="24"/>
        <v>0.36727079889206982</v>
      </c>
      <c r="U84" s="60">
        <f t="shared" si="24"/>
        <v>0.38594191942087486</v>
      </c>
    </row>
    <row r="85" spans="2:21" s="59" customFormat="1" ht="13.2" x14ac:dyDescent="0.3">
      <c r="B85" s="114">
        <f t="shared" si="19"/>
        <v>18</v>
      </c>
      <c r="C85" s="115" t="s">
        <v>123</v>
      </c>
      <c r="D85" s="116">
        <v>0.96</v>
      </c>
      <c r="E85" s="117" t="s">
        <v>101</v>
      </c>
      <c r="F85" s="118">
        <f t="shared" si="20"/>
        <v>4.7101620961452912</v>
      </c>
      <c r="G85" s="118">
        <f t="shared" si="21"/>
        <v>3.9761456037952461</v>
      </c>
      <c r="H85" s="118" t="s">
        <v>114</v>
      </c>
      <c r="I85" s="118">
        <f>F85*$D$22</f>
        <v>3504.3605995320968</v>
      </c>
      <c r="J85" s="120">
        <f>G85*$D$22</f>
        <v>2958.2523292236629</v>
      </c>
      <c r="L85" s="113">
        <f t="shared" si="25"/>
        <v>0</v>
      </c>
      <c r="M85" s="113">
        <f t="shared" si="25"/>
        <v>0</v>
      </c>
      <c r="O85" s="57">
        <v>0.47778174527852713</v>
      </c>
      <c r="P85" s="57">
        <v>0.45145806042547099</v>
      </c>
      <c r="R85" s="57">
        <v>4.2323803508667641</v>
      </c>
      <c r="S85" s="57">
        <v>3.5246875433697751</v>
      </c>
      <c r="T85" s="60">
        <f t="shared" si="24"/>
        <v>0.11288724208841017</v>
      </c>
      <c r="U85" s="60">
        <f t="shared" si="24"/>
        <v>0.128084562069821</v>
      </c>
    </row>
    <row r="86" spans="2:21" s="59" customFormat="1" ht="13.2" x14ac:dyDescent="0.3">
      <c r="B86" s="114">
        <f t="shared" si="19"/>
        <v>19</v>
      </c>
      <c r="C86" s="115" t="s">
        <v>124</v>
      </c>
      <c r="D86" s="116">
        <v>1.1399999999999999</v>
      </c>
      <c r="E86" s="117" t="s">
        <v>101</v>
      </c>
      <c r="F86" s="118">
        <f t="shared" si="20"/>
        <v>5.5933174891725335</v>
      </c>
      <c r="G86" s="118">
        <f t="shared" si="21"/>
        <v>4.7216729045068542</v>
      </c>
      <c r="H86" s="118" t="s">
        <v>114</v>
      </c>
      <c r="I86" s="118">
        <f>F86*$D$23</f>
        <v>4161.4282119443651</v>
      </c>
      <c r="J86" s="120">
        <f>G86*$D$23</f>
        <v>3512.9246409530997</v>
      </c>
      <c r="L86" s="113">
        <f t="shared" si="25"/>
        <v>0</v>
      </c>
      <c r="M86" s="113">
        <f t="shared" si="25"/>
        <v>0</v>
      </c>
      <c r="O86" s="57">
        <v>2.1594994686579891</v>
      </c>
      <c r="P86" s="57">
        <v>1.8620207466785463</v>
      </c>
      <c r="R86" s="57">
        <v>3.4338180205145443</v>
      </c>
      <c r="S86" s="57">
        <v>2.8596521578283078</v>
      </c>
      <c r="T86" s="60">
        <f t="shared" si="24"/>
        <v>0.62889164648696094</v>
      </c>
      <c r="U86" s="60">
        <f t="shared" si="24"/>
        <v>0.65113539826207822</v>
      </c>
    </row>
    <row r="87" spans="2:21" s="59" customFormat="1" ht="13.8" thickBot="1" x14ac:dyDescent="0.35">
      <c r="B87" s="121">
        <f t="shared" si="19"/>
        <v>20</v>
      </c>
      <c r="C87" s="122" t="s">
        <v>125</v>
      </c>
      <c r="D87" s="123">
        <v>0.92</v>
      </c>
      <c r="E87" s="124" t="s">
        <v>101</v>
      </c>
      <c r="F87" s="125">
        <f t="shared" si="20"/>
        <v>4.5139053421392381</v>
      </c>
      <c r="G87" s="125">
        <f t="shared" si="21"/>
        <v>3.8104728703037778</v>
      </c>
      <c r="H87" s="125" t="s">
        <v>114</v>
      </c>
      <c r="I87" s="125">
        <f>F87*$D$24</f>
        <v>3250.0118463402514</v>
      </c>
      <c r="J87" s="127">
        <f>G87*$D$24</f>
        <v>2743.5404666187201</v>
      </c>
      <c r="L87" s="113">
        <f t="shared" si="25"/>
        <v>0</v>
      </c>
      <c r="M87" s="113">
        <f t="shared" si="25"/>
        <v>0</v>
      </c>
      <c r="O87" s="57">
        <v>0.24159687475486269</v>
      </c>
      <c r="P87" s="57">
        <v>0.2525335576569292</v>
      </c>
      <c r="R87" s="57">
        <v>4.2723084673843754</v>
      </c>
      <c r="S87" s="57">
        <v>3.5579393126468486</v>
      </c>
      <c r="T87" s="60">
        <f t="shared" si="24"/>
        <v>5.6549492294215131E-2</v>
      </c>
      <c r="U87" s="60">
        <f t="shared" si="24"/>
        <v>7.0977477541364298E-2</v>
      </c>
    </row>
    <row r="88" spans="2:21" s="59" customFormat="1" ht="13.8" thickBot="1" x14ac:dyDescent="0.35">
      <c r="B88" s="210" t="s">
        <v>126</v>
      </c>
      <c r="C88" s="211"/>
      <c r="D88" s="211"/>
      <c r="E88" s="211"/>
      <c r="F88" s="211"/>
      <c r="G88" s="211"/>
      <c r="H88" s="211"/>
      <c r="I88" s="211"/>
      <c r="J88" s="212"/>
    </row>
    <row r="89" spans="2:21" s="59" customFormat="1" ht="13.2" x14ac:dyDescent="0.3">
      <c r="B89" s="106">
        <f>B87+1</f>
        <v>21</v>
      </c>
      <c r="C89" s="107" t="s">
        <v>127</v>
      </c>
      <c r="D89" s="108">
        <v>2.46</v>
      </c>
      <c r="E89" s="109" t="s">
        <v>101</v>
      </c>
      <c r="F89" s="110">
        <f t="shared" si="20"/>
        <v>12.06979037137231</v>
      </c>
      <c r="G89" s="110">
        <f t="shared" si="21"/>
        <v>10.188873109725318</v>
      </c>
      <c r="H89" s="110" t="s">
        <v>128</v>
      </c>
      <c r="I89" s="110">
        <f>F89*$D$25</f>
        <v>8979.9240363009994</v>
      </c>
      <c r="J89" s="112">
        <f>G89*$D$25</f>
        <v>7580.5215936356362</v>
      </c>
      <c r="O89" s="57">
        <v>1.3291270281349572</v>
      </c>
      <c r="P89" s="57">
        <v>1.2441471741925874</v>
      </c>
      <c r="R89" s="57">
        <v>10.740663343237353</v>
      </c>
      <c r="S89" s="57">
        <v>8.9447259355327304</v>
      </c>
      <c r="T89" s="60">
        <f t="shared" ref="T89:U100" si="26">F89/R89-1</f>
        <v>0.12374720123518412</v>
      </c>
      <c r="U89" s="60">
        <f t="shared" si="26"/>
        <v>0.13909282220154329</v>
      </c>
    </row>
    <row r="90" spans="2:21" s="59" customFormat="1" ht="13.2" x14ac:dyDescent="0.3">
      <c r="B90" s="114">
        <f t="shared" si="19"/>
        <v>22</v>
      </c>
      <c r="C90" s="115" t="s">
        <v>129</v>
      </c>
      <c r="D90" s="116">
        <v>3.13</v>
      </c>
      <c r="E90" s="117" t="s">
        <v>101</v>
      </c>
      <c r="F90" s="118">
        <f t="shared" si="20"/>
        <v>15.35709100097371</v>
      </c>
      <c r="G90" s="118">
        <f t="shared" si="21"/>
        <v>12.963891395707417</v>
      </c>
      <c r="H90" s="118" t="s">
        <v>128</v>
      </c>
      <c r="I90" s="118">
        <f>F90*$D$26</f>
        <v>11057.105520701072</v>
      </c>
      <c r="J90" s="120">
        <f>G90*$D$26</f>
        <v>9334.0018049093396</v>
      </c>
      <c r="O90" s="57">
        <v>2.4694258211093612E-2</v>
      </c>
      <c r="P90" s="57">
        <v>0.19521199331125239</v>
      </c>
      <c r="R90" s="57">
        <v>15.332396742762617</v>
      </c>
      <c r="S90" s="57">
        <v>12.768679402396165</v>
      </c>
      <c r="T90" s="60">
        <f t="shared" si="26"/>
        <v>1.6105934789842902E-3</v>
      </c>
      <c r="U90" s="60">
        <f t="shared" si="26"/>
        <v>1.5288346363729666E-2</v>
      </c>
    </row>
    <row r="91" spans="2:21" s="59" customFormat="1" ht="13.2" x14ac:dyDescent="0.3">
      <c r="B91" s="114">
        <f t="shared" si="19"/>
        <v>23</v>
      </c>
      <c r="C91" s="115" t="s">
        <v>130</v>
      </c>
      <c r="D91" s="116">
        <v>4.6900000000000004</v>
      </c>
      <c r="E91" s="117" t="s">
        <v>101</v>
      </c>
      <c r="F91" s="118">
        <f t="shared" si="20"/>
        <v>23.01110440720981</v>
      </c>
      <c r="G91" s="118">
        <f t="shared" si="21"/>
        <v>19.425128001874693</v>
      </c>
      <c r="H91" s="118" t="s">
        <v>128</v>
      </c>
      <c r="I91" s="118">
        <f>F91*$D$27</f>
        <v>17120.2616789641</v>
      </c>
      <c r="J91" s="120">
        <f>G91*$D$27</f>
        <v>14452.295233394772</v>
      </c>
      <c r="O91" s="57">
        <v>1.4099933711822707</v>
      </c>
      <c r="P91" s="57">
        <v>1.4359208229780123</v>
      </c>
      <c r="R91" s="57">
        <v>21.60111103602754</v>
      </c>
      <c r="S91" s="57">
        <v>17.989207178896681</v>
      </c>
      <c r="T91" s="60">
        <f t="shared" si="26"/>
        <v>6.5274113393084532E-2</v>
      </c>
      <c r="U91" s="60">
        <f t="shared" si="26"/>
        <v>7.9821239963399071E-2</v>
      </c>
    </row>
    <row r="92" spans="2:21" s="59" customFormat="1" ht="13.2" x14ac:dyDescent="0.3">
      <c r="B92" s="114">
        <f t="shared" si="19"/>
        <v>24</v>
      </c>
      <c r="C92" s="115" t="s">
        <v>131</v>
      </c>
      <c r="D92" s="116">
        <v>5.95</v>
      </c>
      <c r="E92" s="117" t="s">
        <v>101</v>
      </c>
      <c r="F92" s="118">
        <f t="shared" si="20"/>
        <v>29.193192158400507</v>
      </c>
      <c r="G92" s="118">
        <f t="shared" si="21"/>
        <v>24.643819106855954</v>
      </c>
      <c r="H92" s="118" t="s">
        <v>128</v>
      </c>
      <c r="I92" s="118">
        <f>F92*$D$28</f>
        <v>21719.734965849977</v>
      </c>
      <c r="J92" s="120">
        <f>G92*$D$28</f>
        <v>18335.001415500828</v>
      </c>
      <c r="O92" s="57">
        <v>5.4359628304219711</v>
      </c>
      <c r="P92" s="57">
        <v>4.8590163869973111</v>
      </c>
      <c r="R92" s="57">
        <v>23.757229327978536</v>
      </c>
      <c r="S92" s="57">
        <v>19.784802719858643</v>
      </c>
      <c r="T92" s="60">
        <f t="shared" si="26"/>
        <v>0.22881299647261977</v>
      </c>
      <c r="U92" s="60">
        <f t="shared" si="26"/>
        <v>0.24559337061876074</v>
      </c>
    </row>
    <row r="93" spans="2:21" s="59" customFormat="1" ht="13.2" x14ac:dyDescent="0.3">
      <c r="B93" s="114">
        <f t="shared" si="19"/>
        <v>25</v>
      </c>
      <c r="C93" s="115" t="s">
        <v>132</v>
      </c>
      <c r="D93" s="116">
        <v>4.17</v>
      </c>
      <c r="E93" s="117" t="s">
        <v>101</v>
      </c>
      <c r="F93" s="118">
        <f t="shared" si="20"/>
        <v>20.459766605131108</v>
      </c>
      <c r="G93" s="118">
        <f t="shared" si="21"/>
        <v>17.271382466485601</v>
      </c>
      <c r="H93" s="118" t="s">
        <v>128</v>
      </c>
      <c r="I93" s="118">
        <f>F93*$D$29</f>
        <v>13748.963158648105</v>
      </c>
      <c r="J93" s="120">
        <f>G93*$D$29</f>
        <v>11606.369017478324</v>
      </c>
      <c r="O93" s="57">
        <v>4.7280886971923817</v>
      </c>
      <c r="P93" s="57">
        <v>4.170185371318702</v>
      </c>
      <c r="R93" s="57">
        <v>15.731677907938726</v>
      </c>
      <c r="S93" s="57">
        <v>13.101197095166899</v>
      </c>
      <c r="T93" s="60">
        <f t="shared" si="26"/>
        <v>0.30054573484538682</v>
      </c>
      <c r="U93" s="60">
        <f t="shared" si="26"/>
        <v>0.31830567397975451</v>
      </c>
    </row>
    <row r="94" spans="2:21" s="59" customFormat="1" ht="13.2" x14ac:dyDescent="0.3">
      <c r="B94" s="114">
        <f t="shared" si="19"/>
        <v>26</v>
      </c>
      <c r="C94" s="115" t="s">
        <v>133</v>
      </c>
      <c r="D94" s="116">
        <v>3.22</v>
      </c>
      <c r="E94" s="117" t="s">
        <v>101</v>
      </c>
      <c r="F94" s="118">
        <f t="shared" si="20"/>
        <v>15.798668697487333</v>
      </c>
      <c r="G94" s="118">
        <f t="shared" si="21"/>
        <v>13.336655046063223</v>
      </c>
      <c r="H94" s="118" t="s">
        <v>128</v>
      </c>
      <c r="I94" s="118">
        <f>F94*$D$30</f>
        <v>11754.209510930576</v>
      </c>
      <c r="J94" s="120">
        <f>G94*$D$30</f>
        <v>9922.4713542710379</v>
      </c>
      <c r="O94" s="57">
        <v>2.7022464797109311</v>
      </c>
      <c r="P94" s="57">
        <v>2.4300747231831661</v>
      </c>
      <c r="R94" s="57">
        <v>13.096422217776402</v>
      </c>
      <c r="S94" s="57">
        <v>10.906580322880057</v>
      </c>
      <c r="T94" s="60">
        <f t="shared" si="26"/>
        <v>0.20633470995177916</v>
      </c>
      <c r="U94" s="60">
        <f t="shared" si="26"/>
        <v>0.22280812603427158</v>
      </c>
    </row>
    <row r="95" spans="2:21" s="59" customFormat="1" ht="13.2" x14ac:dyDescent="0.3">
      <c r="B95" s="114">
        <f t="shared" si="19"/>
        <v>27</v>
      </c>
      <c r="C95" s="115" t="s">
        <v>134</v>
      </c>
      <c r="D95" s="116">
        <v>2.58</v>
      </c>
      <c r="E95" s="117" t="s">
        <v>101</v>
      </c>
      <c r="F95" s="118">
        <f t="shared" si="20"/>
        <v>12.65856063339047</v>
      </c>
      <c r="G95" s="118">
        <f t="shared" si="21"/>
        <v>10.685891310199725</v>
      </c>
      <c r="H95" s="118" t="s">
        <v>128</v>
      </c>
      <c r="I95" s="118">
        <f>F95*$D$19</f>
        <v>9114.1636560411389</v>
      </c>
      <c r="J95" s="120">
        <f>G95*$D$19</f>
        <v>7693.8417433438026</v>
      </c>
      <c r="O95" s="57">
        <v>5.3117871941500496</v>
      </c>
      <c r="P95" s="57">
        <v>4.5675657632182292</v>
      </c>
      <c r="R95" s="57">
        <v>7.3467734392404207</v>
      </c>
      <c r="S95" s="57">
        <v>6.1183255469814961</v>
      </c>
      <c r="T95" s="60">
        <f t="shared" si="26"/>
        <v>0.72300952766269488</v>
      </c>
      <c r="U95" s="60">
        <f t="shared" si="26"/>
        <v>0.74653853054152353</v>
      </c>
    </row>
    <row r="96" spans="2:21" s="59" customFormat="1" ht="13.2" x14ac:dyDescent="0.3">
      <c r="B96" s="114">
        <f t="shared" si="19"/>
        <v>28</v>
      </c>
      <c r="C96" s="115" t="s">
        <v>135</v>
      </c>
      <c r="D96" s="116">
        <v>2.19</v>
      </c>
      <c r="E96" s="117" t="s">
        <v>101</v>
      </c>
      <c r="F96" s="118">
        <f t="shared" si="20"/>
        <v>10.745057281831446</v>
      </c>
      <c r="G96" s="118">
        <f t="shared" si="21"/>
        <v>9.0705821586579045</v>
      </c>
      <c r="H96" s="118" t="s">
        <v>128</v>
      </c>
      <c r="I96" s="118">
        <f>F96*$D$20</f>
        <v>7994.3226176825956</v>
      </c>
      <c r="J96" s="120">
        <f>G96*$D$20</f>
        <v>6748.513126041481</v>
      </c>
      <c r="O96" s="57">
        <v>4.1968461729432454</v>
      </c>
      <c r="P96" s="57">
        <v>3.6172919972178761</v>
      </c>
      <c r="R96" s="57">
        <v>6.5482111088882009</v>
      </c>
      <c r="S96" s="57">
        <v>5.4532901614400284</v>
      </c>
      <c r="T96" s="60">
        <f t="shared" si="26"/>
        <v>0.64091491602136408</v>
      </c>
      <c r="U96" s="60">
        <f t="shared" si="26"/>
        <v>0.66332285466773544</v>
      </c>
    </row>
    <row r="97" spans="2:21" s="59" customFormat="1" ht="13.2" x14ac:dyDescent="0.3">
      <c r="B97" s="114">
        <f t="shared" si="19"/>
        <v>29</v>
      </c>
      <c r="C97" s="115" t="s">
        <v>136</v>
      </c>
      <c r="D97" s="116">
        <v>1.58</v>
      </c>
      <c r="E97" s="117" t="s">
        <v>101</v>
      </c>
      <c r="F97" s="118">
        <f t="shared" si="20"/>
        <v>7.7521417832391259</v>
      </c>
      <c r="G97" s="118">
        <f t="shared" si="21"/>
        <v>6.5440729729130096</v>
      </c>
      <c r="H97" s="118" t="s">
        <v>128</v>
      </c>
      <c r="I97" s="118">
        <f>F97*$D$21</f>
        <v>5581.5420839321705</v>
      </c>
      <c r="J97" s="120">
        <f>G97*$D$21</f>
        <v>4711.7325404973672</v>
      </c>
      <c r="O97" s="57">
        <v>2.0823492377383666</v>
      </c>
      <c r="P97" s="57">
        <v>1.8223217355685941</v>
      </c>
      <c r="R97" s="57">
        <v>5.6697925455007594</v>
      </c>
      <c r="S97" s="57">
        <v>4.7217512373444155</v>
      </c>
      <c r="T97" s="60">
        <f t="shared" si="26"/>
        <v>0.36727079889206982</v>
      </c>
      <c r="U97" s="60">
        <f t="shared" si="26"/>
        <v>0.38594191942087486</v>
      </c>
    </row>
    <row r="98" spans="2:21" s="59" customFormat="1" ht="13.2" x14ac:dyDescent="0.3">
      <c r="B98" s="114">
        <f t="shared" si="19"/>
        <v>30</v>
      </c>
      <c r="C98" s="115" t="s">
        <v>137</v>
      </c>
      <c r="D98" s="116">
        <v>1.92</v>
      </c>
      <c r="E98" s="117" t="s">
        <v>101</v>
      </c>
      <c r="F98" s="118">
        <f t="shared" si="20"/>
        <v>9.4203241922905825</v>
      </c>
      <c r="G98" s="118">
        <f t="shared" si="21"/>
        <v>7.9522912075904921</v>
      </c>
      <c r="H98" s="118" t="s">
        <v>128</v>
      </c>
      <c r="I98" s="118">
        <f>F98*$D$22</f>
        <v>7008.7211990641936</v>
      </c>
      <c r="J98" s="120">
        <f>G98*$D$22</f>
        <v>5916.5046584473257</v>
      </c>
      <c r="O98" s="57">
        <v>0.91563537403944473</v>
      </c>
      <c r="P98" s="57">
        <v>0.8696643515738689</v>
      </c>
      <c r="R98" s="57">
        <v>8.5046888182511378</v>
      </c>
      <c r="S98" s="57">
        <v>7.0826268560166232</v>
      </c>
      <c r="T98" s="60">
        <f t="shared" si="26"/>
        <v>0.10766241935560106</v>
      </c>
      <c r="U98" s="60">
        <f t="shared" si="26"/>
        <v>0.12278839041691114</v>
      </c>
    </row>
    <row r="99" spans="2:21" s="59" customFormat="1" ht="13.2" x14ac:dyDescent="0.3">
      <c r="B99" s="114">
        <f t="shared" si="19"/>
        <v>31</v>
      </c>
      <c r="C99" s="115" t="s">
        <v>138</v>
      </c>
      <c r="D99" s="116">
        <v>2.29</v>
      </c>
      <c r="E99" s="117" t="s">
        <v>101</v>
      </c>
      <c r="F99" s="118">
        <f t="shared" si="20"/>
        <v>11.235699166846581</v>
      </c>
      <c r="G99" s="118">
        <f t="shared" si="21"/>
        <v>9.4847639923865774</v>
      </c>
      <c r="H99" s="118" t="s">
        <v>128</v>
      </c>
      <c r="I99" s="118">
        <f>F99*$D$23</f>
        <v>8359.3601801338573</v>
      </c>
      <c r="J99" s="120">
        <f>G99*$D$23</f>
        <v>7056.6644103356139</v>
      </c>
      <c r="O99" s="57">
        <v>4.3281350092998814</v>
      </c>
      <c r="P99" s="57">
        <v>3.7322079074528878</v>
      </c>
      <c r="R99" s="57">
        <v>6.9075641575466999</v>
      </c>
      <c r="S99" s="57">
        <v>5.7525560849336896</v>
      </c>
      <c r="T99" s="60">
        <f t="shared" si="26"/>
        <v>0.62657905313427698</v>
      </c>
      <c r="U99" s="60">
        <f t="shared" si="26"/>
        <v>0.64879122469188566</v>
      </c>
    </row>
    <row r="100" spans="2:21" s="59" customFormat="1" ht="13.8" thickBot="1" x14ac:dyDescent="0.35">
      <c r="B100" s="121">
        <f t="shared" si="19"/>
        <v>32</v>
      </c>
      <c r="C100" s="122" t="s">
        <v>139</v>
      </c>
      <c r="D100" s="129">
        <v>1.84</v>
      </c>
      <c r="E100" s="124" t="s">
        <v>101</v>
      </c>
      <c r="F100" s="125">
        <f t="shared" si="20"/>
        <v>9.0278106842784762</v>
      </c>
      <c r="G100" s="125">
        <f t="shared" si="21"/>
        <v>7.6209457406075556</v>
      </c>
      <c r="H100" s="125" t="s">
        <v>128</v>
      </c>
      <c r="I100" s="125">
        <f>F100*$D$24</f>
        <v>6500.0236926805028</v>
      </c>
      <c r="J100" s="127">
        <f>G100*$D$24</f>
        <v>5487.0809332374401</v>
      </c>
      <c r="O100" s="57">
        <v>0.44326563299211585</v>
      </c>
      <c r="P100" s="57">
        <v>0.47181534603678621</v>
      </c>
      <c r="R100" s="57">
        <v>8.5845450512863604</v>
      </c>
      <c r="S100" s="57">
        <v>7.1491303945707694</v>
      </c>
      <c r="T100" s="60">
        <f t="shared" si="26"/>
        <v>5.1635308609125907E-2</v>
      </c>
      <c r="U100" s="60">
        <f t="shared" si="26"/>
        <v>6.5996186948148905E-2</v>
      </c>
    </row>
    <row r="101" spans="2:21" s="59" customFormat="1" ht="13.8" thickBot="1" x14ac:dyDescent="0.35">
      <c r="B101" s="210" t="s">
        <v>140</v>
      </c>
      <c r="C101" s="211"/>
      <c r="D101" s="211"/>
      <c r="E101" s="211"/>
      <c r="F101" s="211"/>
      <c r="G101" s="211"/>
      <c r="H101" s="211"/>
      <c r="I101" s="211"/>
      <c r="J101" s="212"/>
    </row>
    <row r="102" spans="2:21" s="59" customFormat="1" ht="13.2" x14ac:dyDescent="0.3">
      <c r="B102" s="106">
        <f>B100+1</f>
        <v>33</v>
      </c>
      <c r="C102" s="107" t="s">
        <v>141</v>
      </c>
      <c r="D102" s="130">
        <v>2.46</v>
      </c>
      <c r="E102" s="109" t="s">
        <v>101</v>
      </c>
      <c r="F102" s="110">
        <f>$F$66*D102</f>
        <v>12.06979037137231</v>
      </c>
      <c r="G102" s="110">
        <f>$G$66*D102</f>
        <v>10.188873109725318</v>
      </c>
      <c r="H102" s="110" t="s">
        <v>101</v>
      </c>
      <c r="I102" s="110">
        <f>F102</f>
        <v>12.06979037137231</v>
      </c>
      <c r="J102" s="112">
        <f>G102</f>
        <v>10.188873109725318</v>
      </c>
      <c r="O102" s="57">
        <v>1.3291270281349572</v>
      </c>
      <c r="P102" s="57">
        <v>1.2441471741925874</v>
      </c>
      <c r="R102" s="57">
        <v>10.740663343237353</v>
      </c>
      <c r="S102" s="57">
        <v>8.9447259355327304</v>
      </c>
      <c r="T102" s="60">
        <f t="shared" ref="T102:U113" si="27">F102/R102-1</f>
        <v>0.12374720123518412</v>
      </c>
      <c r="U102" s="60">
        <f t="shared" si="27"/>
        <v>0.13909282220154329</v>
      </c>
    </row>
    <row r="103" spans="2:21" s="59" customFormat="1" ht="13.2" x14ac:dyDescent="0.3">
      <c r="B103" s="114">
        <f>B102+1</f>
        <v>34</v>
      </c>
      <c r="C103" s="115" t="s">
        <v>142</v>
      </c>
      <c r="D103" s="131">
        <v>3.13</v>
      </c>
      <c r="E103" s="117" t="s">
        <v>101</v>
      </c>
      <c r="F103" s="118">
        <f t="shared" ref="F103:F113" si="28">$F$66*D103</f>
        <v>15.35709100097371</v>
      </c>
      <c r="G103" s="118">
        <f t="shared" ref="G103:G113" si="29">$G$66*D103</f>
        <v>12.963891395707417</v>
      </c>
      <c r="H103" s="118" t="s">
        <v>101</v>
      </c>
      <c r="I103" s="118">
        <f t="shared" ref="I103:J113" si="30">F103</f>
        <v>15.35709100097371</v>
      </c>
      <c r="J103" s="120">
        <f t="shared" si="30"/>
        <v>12.963891395707417</v>
      </c>
      <c r="O103" s="57">
        <v>2.4694258211093612E-2</v>
      </c>
      <c r="P103" s="57">
        <v>0.19521199331125239</v>
      </c>
      <c r="R103" s="57">
        <v>15.332396742762617</v>
      </c>
      <c r="S103" s="57">
        <v>12.768679402396165</v>
      </c>
      <c r="T103" s="60">
        <f t="shared" si="27"/>
        <v>1.6105934789842902E-3</v>
      </c>
      <c r="U103" s="60">
        <f t="shared" si="27"/>
        <v>1.5288346363729666E-2</v>
      </c>
    </row>
    <row r="104" spans="2:21" s="59" customFormat="1" ht="13.2" x14ac:dyDescent="0.3">
      <c r="B104" s="114">
        <f t="shared" ref="B104:B113" si="31">B103+1</f>
        <v>35</v>
      </c>
      <c r="C104" s="115" t="s">
        <v>143</v>
      </c>
      <c r="D104" s="131">
        <v>4.6900000000000004</v>
      </c>
      <c r="E104" s="117" t="s">
        <v>101</v>
      </c>
      <c r="F104" s="118">
        <f t="shared" si="28"/>
        <v>23.01110440720981</v>
      </c>
      <c r="G104" s="118">
        <f t="shared" si="29"/>
        <v>19.425128001874693</v>
      </c>
      <c r="H104" s="118" t="s">
        <v>101</v>
      </c>
      <c r="I104" s="118">
        <f t="shared" si="30"/>
        <v>23.01110440720981</v>
      </c>
      <c r="J104" s="120">
        <f t="shared" si="30"/>
        <v>19.425128001874693</v>
      </c>
      <c r="O104" s="57">
        <v>1.4099933711822707</v>
      </c>
      <c r="P104" s="57">
        <v>1.4359208229780123</v>
      </c>
      <c r="R104" s="57">
        <v>21.60111103602754</v>
      </c>
      <c r="S104" s="57">
        <v>17.989207178896681</v>
      </c>
      <c r="T104" s="60">
        <f t="shared" si="27"/>
        <v>6.5274113393084532E-2</v>
      </c>
      <c r="U104" s="60">
        <f t="shared" si="27"/>
        <v>7.9821239963399071E-2</v>
      </c>
    </row>
    <row r="105" spans="2:21" s="59" customFormat="1" ht="13.2" x14ac:dyDescent="0.3">
      <c r="B105" s="114">
        <f t="shared" si="31"/>
        <v>36</v>
      </c>
      <c r="C105" s="115" t="s">
        <v>144</v>
      </c>
      <c r="D105" s="131">
        <v>5.95</v>
      </c>
      <c r="E105" s="117" t="s">
        <v>101</v>
      </c>
      <c r="F105" s="118">
        <f t="shared" si="28"/>
        <v>29.193192158400507</v>
      </c>
      <c r="G105" s="118">
        <f t="shared" si="29"/>
        <v>24.643819106855954</v>
      </c>
      <c r="H105" s="118" t="s">
        <v>101</v>
      </c>
      <c r="I105" s="118">
        <f t="shared" si="30"/>
        <v>29.193192158400507</v>
      </c>
      <c r="J105" s="120">
        <f t="shared" si="30"/>
        <v>24.643819106855954</v>
      </c>
      <c r="O105" s="57">
        <v>5.4359628304219711</v>
      </c>
      <c r="P105" s="57">
        <v>4.8590163869973111</v>
      </c>
      <c r="R105" s="57">
        <v>23.757229327978536</v>
      </c>
      <c r="S105" s="57">
        <v>19.784802719858643</v>
      </c>
      <c r="T105" s="60">
        <f t="shared" si="27"/>
        <v>0.22881299647261977</v>
      </c>
      <c r="U105" s="60">
        <f t="shared" si="27"/>
        <v>0.24559337061876074</v>
      </c>
    </row>
    <row r="106" spans="2:21" s="59" customFormat="1" ht="13.2" x14ac:dyDescent="0.3">
      <c r="B106" s="114">
        <f t="shared" si="31"/>
        <v>37</v>
      </c>
      <c r="C106" s="115" t="s">
        <v>145</v>
      </c>
      <c r="D106" s="131">
        <v>4.17</v>
      </c>
      <c r="E106" s="117" t="s">
        <v>101</v>
      </c>
      <c r="F106" s="118">
        <f t="shared" si="28"/>
        <v>20.459766605131108</v>
      </c>
      <c r="G106" s="118">
        <f t="shared" si="29"/>
        <v>17.271382466485601</v>
      </c>
      <c r="H106" s="118" t="s">
        <v>101</v>
      </c>
      <c r="I106" s="118">
        <f t="shared" si="30"/>
        <v>20.459766605131108</v>
      </c>
      <c r="J106" s="120">
        <f t="shared" si="30"/>
        <v>17.271382466485601</v>
      </c>
      <c r="O106" s="57">
        <v>4.7280886971923817</v>
      </c>
      <c r="P106" s="57">
        <v>4.170185371318702</v>
      </c>
      <c r="R106" s="57">
        <v>15.731677907938726</v>
      </c>
      <c r="S106" s="57">
        <v>13.101197095166899</v>
      </c>
      <c r="T106" s="60">
        <f t="shared" si="27"/>
        <v>0.30054573484538682</v>
      </c>
      <c r="U106" s="60">
        <f t="shared" si="27"/>
        <v>0.31830567397975451</v>
      </c>
    </row>
    <row r="107" spans="2:21" s="59" customFormat="1" ht="13.2" x14ac:dyDescent="0.3">
      <c r="B107" s="114">
        <f t="shared" si="31"/>
        <v>38</v>
      </c>
      <c r="C107" s="115" t="s">
        <v>146</v>
      </c>
      <c r="D107" s="131">
        <v>3.22</v>
      </c>
      <c r="E107" s="117" t="s">
        <v>101</v>
      </c>
      <c r="F107" s="118">
        <f t="shared" si="28"/>
        <v>15.798668697487333</v>
      </c>
      <c r="G107" s="118">
        <f t="shared" si="29"/>
        <v>13.336655046063223</v>
      </c>
      <c r="H107" s="118" t="s">
        <v>101</v>
      </c>
      <c r="I107" s="118">
        <f t="shared" si="30"/>
        <v>15.798668697487333</v>
      </c>
      <c r="J107" s="120">
        <f t="shared" si="30"/>
        <v>13.336655046063223</v>
      </c>
      <c r="O107" s="57">
        <v>2.7022464797109311</v>
      </c>
      <c r="P107" s="57">
        <v>2.4300747231831661</v>
      </c>
      <c r="R107" s="57">
        <v>13.096422217776402</v>
      </c>
      <c r="S107" s="57">
        <v>10.906580322880057</v>
      </c>
      <c r="T107" s="60">
        <f t="shared" si="27"/>
        <v>0.20633470995177916</v>
      </c>
      <c r="U107" s="60">
        <f t="shared" si="27"/>
        <v>0.22280812603427158</v>
      </c>
    </row>
    <row r="108" spans="2:21" s="59" customFormat="1" ht="13.2" x14ac:dyDescent="0.3">
      <c r="B108" s="114">
        <f t="shared" si="31"/>
        <v>39</v>
      </c>
      <c r="C108" s="115" t="s">
        <v>147</v>
      </c>
      <c r="D108" s="131">
        <v>2.58</v>
      </c>
      <c r="E108" s="117" t="s">
        <v>101</v>
      </c>
      <c r="F108" s="118">
        <f t="shared" si="28"/>
        <v>12.65856063339047</v>
      </c>
      <c r="G108" s="118">
        <f t="shared" si="29"/>
        <v>10.685891310199725</v>
      </c>
      <c r="H108" s="118" t="s">
        <v>101</v>
      </c>
      <c r="I108" s="118">
        <f t="shared" si="30"/>
        <v>12.65856063339047</v>
      </c>
      <c r="J108" s="120">
        <f t="shared" si="30"/>
        <v>10.685891310199725</v>
      </c>
      <c r="O108" s="57">
        <v>5.3117871941500496</v>
      </c>
      <c r="P108" s="57">
        <v>4.5675657632182292</v>
      </c>
      <c r="R108" s="57">
        <v>7.3467734392404207</v>
      </c>
      <c r="S108" s="57">
        <v>6.1183255469814961</v>
      </c>
      <c r="T108" s="60">
        <f t="shared" si="27"/>
        <v>0.72300952766269488</v>
      </c>
      <c r="U108" s="60">
        <f t="shared" si="27"/>
        <v>0.74653853054152353</v>
      </c>
    </row>
    <row r="109" spans="2:21" s="59" customFormat="1" ht="13.2" x14ac:dyDescent="0.3">
      <c r="B109" s="114">
        <f t="shared" si="31"/>
        <v>40</v>
      </c>
      <c r="C109" s="115" t="s">
        <v>148</v>
      </c>
      <c r="D109" s="131">
        <v>2.19</v>
      </c>
      <c r="E109" s="117" t="s">
        <v>101</v>
      </c>
      <c r="F109" s="118">
        <f t="shared" si="28"/>
        <v>10.745057281831446</v>
      </c>
      <c r="G109" s="118">
        <f t="shared" si="29"/>
        <v>9.0705821586579045</v>
      </c>
      <c r="H109" s="118" t="s">
        <v>101</v>
      </c>
      <c r="I109" s="118">
        <f t="shared" si="30"/>
        <v>10.745057281831446</v>
      </c>
      <c r="J109" s="120">
        <f t="shared" si="30"/>
        <v>9.0705821586579045</v>
      </c>
      <c r="O109" s="57">
        <v>4.1968461729432454</v>
      </c>
      <c r="P109" s="57">
        <v>3.6172919972178761</v>
      </c>
      <c r="R109" s="57">
        <v>6.5482111088882009</v>
      </c>
      <c r="S109" s="57">
        <v>5.4532901614400284</v>
      </c>
      <c r="T109" s="60">
        <f t="shared" si="27"/>
        <v>0.64091491602136408</v>
      </c>
      <c r="U109" s="60">
        <f t="shared" si="27"/>
        <v>0.66332285466773544</v>
      </c>
    </row>
    <row r="110" spans="2:21" s="59" customFormat="1" ht="13.2" x14ac:dyDescent="0.3">
      <c r="B110" s="114">
        <f t="shared" si="31"/>
        <v>41</v>
      </c>
      <c r="C110" s="115" t="s">
        <v>149</v>
      </c>
      <c r="D110" s="131">
        <v>1.58</v>
      </c>
      <c r="E110" s="117" t="s">
        <v>101</v>
      </c>
      <c r="F110" s="118">
        <f t="shared" si="28"/>
        <v>7.7521417832391259</v>
      </c>
      <c r="G110" s="118">
        <f t="shared" si="29"/>
        <v>6.5440729729130096</v>
      </c>
      <c r="H110" s="118" t="s">
        <v>101</v>
      </c>
      <c r="I110" s="118">
        <f t="shared" si="30"/>
        <v>7.7521417832391259</v>
      </c>
      <c r="J110" s="120">
        <f t="shared" si="30"/>
        <v>6.5440729729130096</v>
      </c>
      <c r="O110" s="57">
        <v>2.0823492377383666</v>
      </c>
      <c r="P110" s="57">
        <v>1.8223217355685941</v>
      </c>
      <c r="R110" s="57">
        <v>5.6697925455007594</v>
      </c>
      <c r="S110" s="57">
        <v>4.7217512373444155</v>
      </c>
      <c r="T110" s="60">
        <f t="shared" si="27"/>
        <v>0.36727079889206982</v>
      </c>
      <c r="U110" s="60">
        <f t="shared" si="27"/>
        <v>0.38594191942087486</v>
      </c>
    </row>
    <row r="111" spans="2:21" s="59" customFormat="1" ht="13.2" x14ac:dyDescent="0.3">
      <c r="B111" s="114">
        <f t="shared" si="31"/>
        <v>42</v>
      </c>
      <c r="C111" s="115" t="s">
        <v>150</v>
      </c>
      <c r="D111" s="131">
        <v>1.92</v>
      </c>
      <c r="E111" s="117" t="s">
        <v>101</v>
      </c>
      <c r="F111" s="118">
        <f t="shared" si="28"/>
        <v>9.4203241922905825</v>
      </c>
      <c r="G111" s="118">
        <f t="shared" si="29"/>
        <v>7.9522912075904921</v>
      </c>
      <c r="H111" s="118" t="s">
        <v>101</v>
      </c>
      <c r="I111" s="118">
        <f t="shared" si="30"/>
        <v>9.4203241922905825</v>
      </c>
      <c r="J111" s="120">
        <f t="shared" si="30"/>
        <v>7.9522912075904921</v>
      </c>
      <c r="O111" s="57">
        <v>0.91563537403944473</v>
      </c>
      <c r="P111" s="57">
        <v>0.8696643515738689</v>
      </c>
      <c r="R111" s="57">
        <v>8.5046888182511378</v>
      </c>
      <c r="S111" s="57">
        <v>7.0826268560166232</v>
      </c>
      <c r="T111" s="60">
        <f t="shared" si="27"/>
        <v>0.10766241935560106</v>
      </c>
      <c r="U111" s="60">
        <f t="shared" si="27"/>
        <v>0.12278839041691114</v>
      </c>
    </row>
    <row r="112" spans="2:21" s="59" customFormat="1" ht="13.2" x14ac:dyDescent="0.3">
      <c r="B112" s="114">
        <f t="shared" si="31"/>
        <v>43</v>
      </c>
      <c r="C112" s="115" t="s">
        <v>151</v>
      </c>
      <c r="D112" s="131">
        <v>2.29</v>
      </c>
      <c r="E112" s="117" t="s">
        <v>101</v>
      </c>
      <c r="F112" s="118">
        <f t="shared" si="28"/>
        <v>11.235699166846581</v>
      </c>
      <c r="G112" s="118">
        <f t="shared" si="29"/>
        <v>9.4847639923865774</v>
      </c>
      <c r="H112" s="118" t="s">
        <v>101</v>
      </c>
      <c r="I112" s="118">
        <f t="shared" si="30"/>
        <v>11.235699166846581</v>
      </c>
      <c r="J112" s="120">
        <f t="shared" si="30"/>
        <v>9.4847639923865774</v>
      </c>
      <c r="O112" s="57">
        <v>4.3281350092998814</v>
      </c>
      <c r="P112" s="57">
        <v>3.7322079074528878</v>
      </c>
      <c r="R112" s="57">
        <v>6.9075641575466999</v>
      </c>
      <c r="S112" s="57">
        <v>5.7525560849336896</v>
      </c>
      <c r="T112" s="60">
        <f t="shared" si="27"/>
        <v>0.62657905313427698</v>
      </c>
      <c r="U112" s="60">
        <f t="shared" si="27"/>
        <v>0.64879122469188566</v>
      </c>
    </row>
    <row r="113" spans="2:21" s="59" customFormat="1" ht="13.8" thickBot="1" x14ac:dyDescent="0.35">
      <c r="B113" s="121">
        <f t="shared" si="31"/>
        <v>44</v>
      </c>
      <c r="C113" s="122" t="s">
        <v>152</v>
      </c>
      <c r="D113" s="129">
        <v>1.84</v>
      </c>
      <c r="E113" s="124" t="s">
        <v>101</v>
      </c>
      <c r="F113" s="125">
        <f t="shared" si="28"/>
        <v>9.0278106842784762</v>
      </c>
      <c r="G113" s="125">
        <f t="shared" si="29"/>
        <v>7.6209457406075556</v>
      </c>
      <c r="H113" s="125" t="s">
        <v>101</v>
      </c>
      <c r="I113" s="125">
        <f t="shared" si="30"/>
        <v>9.0278106842784762</v>
      </c>
      <c r="J113" s="127">
        <f t="shared" si="30"/>
        <v>7.6209457406075556</v>
      </c>
      <c r="O113" s="57">
        <v>0.44326563299211585</v>
      </c>
      <c r="P113" s="57">
        <v>0.47181534603678621</v>
      </c>
      <c r="R113" s="57">
        <v>8.5845450512863604</v>
      </c>
      <c r="S113" s="57">
        <v>7.1491303945707694</v>
      </c>
      <c r="T113" s="60">
        <f t="shared" si="27"/>
        <v>5.1635308609125907E-2</v>
      </c>
      <c r="U113" s="60">
        <f t="shared" si="27"/>
        <v>6.5996186948148905E-2</v>
      </c>
    </row>
    <row r="114" spans="2:21" s="59" customFormat="1" ht="13.8" thickBot="1" x14ac:dyDescent="0.35">
      <c r="B114" s="207" t="s">
        <v>153</v>
      </c>
      <c r="C114" s="208"/>
      <c r="D114" s="208"/>
      <c r="E114" s="208"/>
      <c r="F114" s="208"/>
      <c r="G114" s="208"/>
      <c r="H114" s="208"/>
      <c r="I114" s="208"/>
      <c r="J114" s="209"/>
    </row>
    <row r="115" spans="2:21" s="59" customFormat="1" ht="13.8" thickBot="1" x14ac:dyDescent="0.35">
      <c r="B115" s="207" t="s">
        <v>154</v>
      </c>
      <c r="C115" s="208"/>
      <c r="D115" s="208"/>
      <c r="E115" s="208"/>
      <c r="F115" s="208"/>
      <c r="G115" s="208"/>
      <c r="H115" s="208"/>
      <c r="I115" s="208"/>
      <c r="J115" s="209"/>
    </row>
    <row r="116" spans="2:21" s="59" customFormat="1" ht="13.2" x14ac:dyDescent="0.3">
      <c r="B116" s="132">
        <f>B113</f>
        <v>44</v>
      </c>
      <c r="C116" s="133" t="s">
        <v>107</v>
      </c>
      <c r="D116" s="134">
        <v>0.5</v>
      </c>
      <c r="E116" s="135" t="s">
        <v>101</v>
      </c>
      <c r="F116" s="136">
        <f t="shared" ref="F116:G119" si="32">F71*$D116</f>
        <v>3.6307499491119954</v>
      </c>
      <c r="G116" s="136">
        <f t="shared" si="32"/>
        <v>3.0649455695921688</v>
      </c>
      <c r="H116" s="136" t="s">
        <v>108</v>
      </c>
      <c r="I116" s="136">
        <f>F116*$D$17</f>
        <v>8016.6958876392855</v>
      </c>
      <c r="J116" s="137">
        <f>G116*$D$17</f>
        <v>6767.3998176595087</v>
      </c>
      <c r="L116" s="113">
        <f>F116-J34</f>
        <v>0</v>
      </c>
      <c r="M116" s="113">
        <f>G116-K34</f>
        <v>0</v>
      </c>
      <c r="O116" s="57">
        <v>0.19693192859745112</v>
      </c>
      <c r="P116" s="57">
        <v>0.20529341176386096</v>
      </c>
      <c r="R116" s="57">
        <v>3.4338180205145443</v>
      </c>
      <c r="S116" s="57">
        <v>2.8596521578283078</v>
      </c>
      <c r="T116" s="60">
        <f t="shared" ref="T116:U119" si="33">F116/R116-1</f>
        <v>5.7350717895044978E-2</v>
      </c>
      <c r="U116" s="60">
        <f t="shared" si="33"/>
        <v>7.178964448591052E-2</v>
      </c>
    </row>
    <row r="117" spans="2:21" s="59" customFormat="1" ht="13.2" x14ac:dyDescent="0.3">
      <c r="B117" s="114">
        <f t="shared" si="19"/>
        <v>45</v>
      </c>
      <c r="C117" s="115" t="s">
        <v>109</v>
      </c>
      <c r="D117" s="131">
        <v>0.5</v>
      </c>
      <c r="E117" s="117" t="s">
        <v>101</v>
      </c>
      <c r="F117" s="118">
        <f t="shared" si="32"/>
        <v>4.7346941903960484</v>
      </c>
      <c r="G117" s="118">
        <f t="shared" si="32"/>
        <v>3.9968546954816797</v>
      </c>
      <c r="H117" s="118" t="s">
        <v>108</v>
      </c>
      <c r="I117" s="118">
        <f>F117*$D$18</f>
        <v>10226.939451255465</v>
      </c>
      <c r="J117" s="120">
        <f>G117*$D$18</f>
        <v>8633.2061422404277</v>
      </c>
      <c r="L117" s="113">
        <f>F117-J35</f>
        <v>0</v>
      </c>
      <c r="M117" s="113">
        <f>G117-K35</f>
        <v>0</v>
      </c>
      <c r="O117" s="57">
        <v>0.94152312122300552</v>
      </c>
      <c r="P117" s="57">
        <v>0.83793661415971155</v>
      </c>
      <c r="R117" s="57">
        <v>3.7931710691730429</v>
      </c>
      <c r="S117" s="57">
        <v>3.1589180813219682</v>
      </c>
      <c r="T117" s="60">
        <f t="shared" si="33"/>
        <v>0.24821530694324023</v>
      </c>
      <c r="U117" s="60">
        <f t="shared" si="33"/>
        <v>0.26526063436537273</v>
      </c>
    </row>
    <row r="118" spans="2:21" s="59" customFormat="1" ht="13.2" x14ac:dyDescent="0.3">
      <c r="B118" s="114">
        <f t="shared" si="19"/>
        <v>46</v>
      </c>
      <c r="C118" s="115" t="s">
        <v>110</v>
      </c>
      <c r="D118" s="131">
        <v>0.5</v>
      </c>
      <c r="E118" s="117" t="s">
        <v>101</v>
      </c>
      <c r="F118" s="118">
        <f t="shared" si="32"/>
        <v>2.2569526710696191</v>
      </c>
      <c r="G118" s="118">
        <f t="shared" si="32"/>
        <v>1.9052364351518889</v>
      </c>
      <c r="H118" s="118" t="s">
        <v>108</v>
      </c>
      <c r="I118" s="118">
        <f>F118*$D$15</f>
        <v>4929.1846336160479</v>
      </c>
      <c r="J118" s="120">
        <f>G118*$D$15</f>
        <v>4161.0363743717253</v>
      </c>
      <c r="L118" s="113">
        <f>F118-J32</f>
        <v>0</v>
      </c>
      <c r="M118" s="113">
        <f>G118-K32</f>
        <v>0</v>
      </c>
      <c r="O118" s="57">
        <v>0.83950453469442921</v>
      </c>
      <c r="P118" s="57">
        <v>0.72479862581578502</v>
      </c>
      <c r="R118" s="57">
        <v>1.4174481363751898</v>
      </c>
      <c r="S118" s="57">
        <v>1.1804378093361039</v>
      </c>
      <c r="T118" s="60">
        <f t="shared" si="33"/>
        <v>0.59226472782367634</v>
      </c>
      <c r="U118" s="60">
        <f t="shared" si="33"/>
        <v>0.61400831122430977</v>
      </c>
    </row>
    <row r="119" spans="2:21" s="59" customFormat="1" ht="13.8" thickBot="1" x14ac:dyDescent="0.35">
      <c r="B119" s="114">
        <f t="shared" si="19"/>
        <v>47</v>
      </c>
      <c r="C119" s="115" t="s">
        <v>111</v>
      </c>
      <c r="D119" s="131">
        <v>0.5</v>
      </c>
      <c r="E119" s="117" t="s">
        <v>101</v>
      </c>
      <c r="F119" s="118">
        <f t="shared" si="32"/>
        <v>2.1342921998158353</v>
      </c>
      <c r="G119" s="118">
        <f t="shared" si="32"/>
        <v>1.8016909767197209</v>
      </c>
      <c r="H119" s="118" t="s">
        <v>108</v>
      </c>
      <c r="I119" s="118">
        <f>F119*$D$16</f>
        <v>4712.5171771933647</v>
      </c>
      <c r="J119" s="120">
        <f>G119*$D$16</f>
        <v>3978.1336765971437</v>
      </c>
      <c r="L119" s="113">
        <f>F119-J33</f>
        <v>0</v>
      </c>
      <c r="M119" s="113">
        <f>G119-K33</f>
        <v>0</v>
      </c>
      <c r="O119" s="57">
        <v>0.3974191312997577</v>
      </c>
      <c r="P119" s="57">
        <v>0.35523901316703022</v>
      </c>
      <c r="R119" s="57">
        <v>1.7368730685160776</v>
      </c>
      <c r="S119" s="57">
        <v>1.4464519635526907</v>
      </c>
      <c r="T119" s="60">
        <f t="shared" si="33"/>
        <v>0.22881299647261977</v>
      </c>
      <c r="U119" s="60">
        <f t="shared" si="33"/>
        <v>0.24559337061876074</v>
      </c>
    </row>
    <row r="120" spans="2:21" s="59" customFormat="1" ht="13.8" thickBot="1" x14ac:dyDescent="0.35">
      <c r="B120" s="207" t="s">
        <v>155</v>
      </c>
      <c r="C120" s="208"/>
      <c r="D120" s="208"/>
      <c r="E120" s="208"/>
      <c r="F120" s="208"/>
      <c r="G120" s="208"/>
      <c r="H120" s="208"/>
      <c r="I120" s="208"/>
      <c r="J120" s="209"/>
      <c r="L120" s="113"/>
      <c r="M120" s="113"/>
    </row>
    <row r="121" spans="2:21" s="59" customFormat="1" ht="13.2" x14ac:dyDescent="0.3">
      <c r="B121" s="114">
        <f>B119+1</f>
        <v>48</v>
      </c>
      <c r="C121" s="115" t="s">
        <v>113</v>
      </c>
      <c r="D121" s="131">
        <v>0.5</v>
      </c>
      <c r="E121" s="117" t="s">
        <v>101</v>
      </c>
      <c r="F121" s="118">
        <f t="shared" ref="F121:G132" si="34">F76*$D121</f>
        <v>3.0174475928430775</v>
      </c>
      <c r="G121" s="118">
        <f t="shared" si="34"/>
        <v>2.5472182774313294</v>
      </c>
      <c r="H121" s="118" t="s">
        <v>114</v>
      </c>
      <c r="I121" s="118">
        <f>F121*$D$25</f>
        <v>2244.9810090752499</v>
      </c>
      <c r="J121" s="120">
        <f>G121*$D$25</f>
        <v>1895.1303984089091</v>
      </c>
      <c r="L121" s="113">
        <f t="shared" ref="L121:M126" si="35">F121-J42</f>
        <v>0</v>
      </c>
      <c r="M121" s="113">
        <f t="shared" si="35"/>
        <v>0</v>
      </c>
      <c r="O121" s="57">
        <v>0.34226378616314168</v>
      </c>
      <c r="P121" s="57">
        <v>0.31934973586741489</v>
      </c>
      <c r="R121" s="57">
        <v>2.6751838066799358</v>
      </c>
      <c r="S121" s="57">
        <v>2.2278685415639146</v>
      </c>
      <c r="T121" s="60">
        <f t="shared" ref="T121:U132" si="36">F121/R121-1</f>
        <v>0.12794028780695688</v>
      </c>
      <c r="U121" s="60">
        <f t="shared" si="36"/>
        <v>0.14334316855304152</v>
      </c>
    </row>
    <row r="122" spans="2:21" s="59" customFormat="1" ht="13.2" x14ac:dyDescent="0.3">
      <c r="B122" s="114">
        <f t="shared" si="19"/>
        <v>49</v>
      </c>
      <c r="C122" s="115" t="s">
        <v>115</v>
      </c>
      <c r="D122" s="131">
        <v>0.5</v>
      </c>
      <c r="E122" s="117" t="s">
        <v>101</v>
      </c>
      <c r="F122" s="118">
        <f t="shared" si="34"/>
        <v>3.8270067031180495</v>
      </c>
      <c r="G122" s="118">
        <f t="shared" si="34"/>
        <v>3.2306183030836375</v>
      </c>
      <c r="H122" s="118" t="s">
        <v>114</v>
      </c>
      <c r="I122" s="118">
        <f>F122*$D$26</f>
        <v>2755.4448262449955</v>
      </c>
      <c r="J122" s="120">
        <f>G122*$D$26</f>
        <v>2326.045178220219</v>
      </c>
      <c r="L122" s="113">
        <f t="shared" si="35"/>
        <v>0</v>
      </c>
      <c r="M122" s="113">
        <f t="shared" si="35"/>
        <v>0</v>
      </c>
      <c r="O122" s="57">
        <v>-6.0924825726047516E-3</v>
      </c>
      <c r="P122" s="57">
        <v>3.8448452484596274E-2</v>
      </c>
      <c r="R122" s="57">
        <v>3.8330991856906542</v>
      </c>
      <c r="S122" s="57">
        <v>3.1921698505990412</v>
      </c>
      <c r="T122" s="60">
        <f t="shared" si="36"/>
        <v>-1.5894403659963974E-3</v>
      </c>
      <c r="U122" s="60">
        <f t="shared" si="36"/>
        <v>1.2044613627743228E-2</v>
      </c>
    </row>
    <row r="123" spans="2:21" s="59" customFormat="1" ht="13.2" x14ac:dyDescent="0.3">
      <c r="B123" s="114">
        <f t="shared" si="19"/>
        <v>50</v>
      </c>
      <c r="C123" s="115" t="s">
        <v>116</v>
      </c>
      <c r="D123" s="131">
        <v>0.5</v>
      </c>
      <c r="E123" s="117" t="s">
        <v>101</v>
      </c>
      <c r="F123" s="118">
        <f t="shared" si="34"/>
        <v>5.740510054677074</v>
      </c>
      <c r="G123" s="118">
        <f t="shared" si="34"/>
        <v>4.845927454625456</v>
      </c>
      <c r="H123" s="118" t="s">
        <v>114</v>
      </c>
      <c r="I123" s="118">
        <f>F123*$D$27</f>
        <v>4270.9394806797427</v>
      </c>
      <c r="J123" s="120">
        <f>G123*$D$27</f>
        <v>3605.3700262413395</v>
      </c>
      <c r="L123" s="113">
        <f t="shared" si="35"/>
        <v>0</v>
      </c>
      <c r="M123" s="113">
        <f t="shared" si="35"/>
        <v>0</v>
      </c>
      <c r="O123" s="57">
        <v>0.35021432479959103</v>
      </c>
      <c r="P123" s="57">
        <v>0.35693860222055385</v>
      </c>
      <c r="R123" s="57">
        <v>5.390295729877483</v>
      </c>
      <c r="S123" s="57">
        <v>4.4889888524049022</v>
      </c>
      <c r="T123" s="60">
        <f t="shared" si="36"/>
        <v>6.4971263609603591E-2</v>
      </c>
      <c r="U123" s="60">
        <f t="shared" si="36"/>
        <v>7.9514254536259266E-2</v>
      </c>
    </row>
    <row r="124" spans="2:21" s="59" customFormat="1" ht="13.2" x14ac:dyDescent="0.3">
      <c r="B124" s="114">
        <f t="shared" si="19"/>
        <v>51</v>
      </c>
      <c r="C124" s="115" t="s">
        <v>117</v>
      </c>
      <c r="D124" s="131">
        <v>0.5</v>
      </c>
      <c r="E124" s="117" t="s">
        <v>101</v>
      </c>
      <c r="F124" s="118">
        <f t="shared" si="34"/>
        <v>7.2860319924747481</v>
      </c>
      <c r="G124" s="118">
        <f t="shared" si="34"/>
        <v>6.1506002308707721</v>
      </c>
      <c r="H124" s="118" t="s">
        <v>114</v>
      </c>
      <c r="I124" s="118">
        <f>F124*$D$28</f>
        <v>5420.8078024012129</v>
      </c>
      <c r="J124" s="120">
        <f>G124*$D$28</f>
        <v>4576.0465717678544</v>
      </c>
      <c r="L124" s="113">
        <f t="shared" si="35"/>
        <v>0</v>
      </c>
      <c r="M124" s="113">
        <f t="shared" si="35"/>
        <v>0</v>
      </c>
      <c r="O124" s="57">
        <v>1.3367426313507123</v>
      </c>
      <c r="P124" s="57">
        <v>1.1960866085868433</v>
      </c>
      <c r="R124" s="57">
        <v>5.9492893611240358</v>
      </c>
      <c r="S124" s="57">
        <v>4.9545136222839288</v>
      </c>
      <c r="T124" s="60">
        <f t="shared" si="36"/>
        <v>0.22468946292740966</v>
      </c>
      <c r="U124" s="60">
        <f t="shared" si="36"/>
        <v>0.24141352709319475</v>
      </c>
    </row>
    <row r="125" spans="2:21" s="59" customFormat="1" ht="13.2" x14ac:dyDescent="0.3">
      <c r="B125" s="114">
        <f t="shared" si="19"/>
        <v>52</v>
      </c>
      <c r="C125" s="115" t="s">
        <v>118</v>
      </c>
      <c r="D125" s="131">
        <v>0.5</v>
      </c>
      <c r="E125" s="117" t="s">
        <v>101</v>
      </c>
      <c r="F125" s="118">
        <f t="shared" si="34"/>
        <v>5.1272076984081556</v>
      </c>
      <c r="G125" s="118">
        <f t="shared" si="34"/>
        <v>4.3282001624646167</v>
      </c>
      <c r="H125" s="118" t="s">
        <v>114</v>
      </c>
      <c r="I125" s="118">
        <f>F125*$D$29</f>
        <v>3445.4835733302807</v>
      </c>
      <c r="J125" s="120">
        <f>G125*$D$29</f>
        <v>2908.5505091762225</v>
      </c>
      <c r="L125" s="113">
        <f t="shared" si="35"/>
        <v>0</v>
      </c>
      <c r="M125" s="113">
        <f t="shared" si="35"/>
        <v>0</v>
      </c>
      <c r="O125" s="57">
        <v>1.194288221423474</v>
      </c>
      <c r="P125" s="57">
        <v>1.0529008886728919</v>
      </c>
      <c r="R125" s="57">
        <v>3.9329194769846816</v>
      </c>
      <c r="S125" s="57">
        <v>3.2752992737917248</v>
      </c>
      <c r="T125" s="60">
        <f t="shared" si="36"/>
        <v>0.30366454955724631</v>
      </c>
      <c r="U125" s="60">
        <f t="shared" si="36"/>
        <v>0.32146707847371059</v>
      </c>
    </row>
    <row r="126" spans="2:21" s="59" customFormat="1" ht="13.2" x14ac:dyDescent="0.3">
      <c r="B126" s="114">
        <f t="shared" si="19"/>
        <v>53</v>
      </c>
      <c r="C126" s="115" t="s">
        <v>119</v>
      </c>
      <c r="D126" s="131">
        <v>0.5</v>
      </c>
      <c r="E126" s="117" t="s">
        <v>101</v>
      </c>
      <c r="F126" s="118">
        <f t="shared" si="34"/>
        <v>3.9496671743718332</v>
      </c>
      <c r="G126" s="118">
        <f t="shared" si="34"/>
        <v>3.3341637615158057</v>
      </c>
      <c r="H126" s="118" t="s">
        <v>114</v>
      </c>
      <c r="I126" s="118">
        <f>F126*$D$30</f>
        <v>2938.5523777326439</v>
      </c>
      <c r="J126" s="120">
        <f>G126*$D$30</f>
        <v>2480.6178385677595</v>
      </c>
      <c r="L126" s="113">
        <f t="shared" si="35"/>
        <v>0</v>
      </c>
      <c r="M126" s="113">
        <f t="shared" si="35"/>
        <v>0</v>
      </c>
      <c r="O126" s="57">
        <v>0.67556161992773278</v>
      </c>
      <c r="P126" s="57">
        <v>0.60751868079579152</v>
      </c>
      <c r="R126" s="57">
        <v>3.2741055544441005</v>
      </c>
      <c r="S126" s="57">
        <v>2.7266450807200142</v>
      </c>
      <c r="T126" s="60">
        <f t="shared" si="36"/>
        <v>0.20633470995177916</v>
      </c>
      <c r="U126" s="60">
        <f t="shared" si="36"/>
        <v>0.22280812603427158</v>
      </c>
    </row>
    <row r="127" spans="2:21" s="59" customFormat="1" ht="13.2" x14ac:dyDescent="0.3">
      <c r="B127" s="114">
        <f t="shared" si="19"/>
        <v>54</v>
      </c>
      <c r="C127" s="115" t="s">
        <v>120</v>
      </c>
      <c r="D127" s="131">
        <v>0.5</v>
      </c>
      <c r="E127" s="117" t="s">
        <v>101</v>
      </c>
      <c r="F127" s="118">
        <f t="shared" si="34"/>
        <v>3.1646401583476176</v>
      </c>
      <c r="G127" s="118">
        <f t="shared" si="34"/>
        <v>2.6714728275499313</v>
      </c>
      <c r="H127" s="118" t="s">
        <v>114</v>
      </c>
      <c r="I127" s="118">
        <f>F127*$D$19</f>
        <v>2278.5409140102847</v>
      </c>
      <c r="J127" s="120">
        <f>G127*$D$19</f>
        <v>1923.4604358359506</v>
      </c>
      <c r="L127" s="113">
        <f t="shared" ref="L127:M132" si="37">F127-J36</f>
        <v>0</v>
      </c>
      <c r="M127" s="113">
        <f t="shared" si="37"/>
        <v>0</v>
      </c>
      <c r="O127" s="57">
        <v>1.3279467985375124</v>
      </c>
      <c r="P127" s="57">
        <v>1.1418914408045573</v>
      </c>
      <c r="R127" s="57">
        <v>1.8366933598101052</v>
      </c>
      <c r="S127" s="57">
        <v>1.529581386745374</v>
      </c>
      <c r="T127" s="60">
        <f t="shared" si="36"/>
        <v>0.72300952766269488</v>
      </c>
      <c r="U127" s="60">
        <f t="shared" si="36"/>
        <v>0.74653853054152353</v>
      </c>
    </row>
    <row r="128" spans="2:21" s="59" customFormat="1" ht="13.2" x14ac:dyDescent="0.3">
      <c r="B128" s="114">
        <f t="shared" si="19"/>
        <v>55</v>
      </c>
      <c r="C128" s="115" t="s">
        <v>121</v>
      </c>
      <c r="D128" s="131">
        <v>0.5</v>
      </c>
      <c r="E128" s="117" t="s">
        <v>101</v>
      </c>
      <c r="F128" s="118">
        <f t="shared" si="34"/>
        <v>2.6739982733324834</v>
      </c>
      <c r="G128" s="118">
        <f t="shared" si="34"/>
        <v>2.2572909938212598</v>
      </c>
      <c r="H128" s="118" t="s">
        <v>114</v>
      </c>
      <c r="I128" s="118">
        <f>F128*$D$20</f>
        <v>1989.4547153593676</v>
      </c>
      <c r="J128" s="120">
        <f>G128*$D$20</f>
        <v>1679.4244994030173</v>
      </c>
      <c r="L128" s="113">
        <f t="shared" si="37"/>
        <v>0</v>
      </c>
      <c r="M128" s="113">
        <f t="shared" si="37"/>
        <v>0</v>
      </c>
      <c r="O128" s="57">
        <v>1.0369454961104332</v>
      </c>
      <c r="P128" s="57">
        <v>0.89396845346125264</v>
      </c>
      <c r="R128" s="57">
        <v>1.6370527772220502</v>
      </c>
      <c r="S128" s="57">
        <v>1.3633225403600071</v>
      </c>
      <c r="T128" s="60">
        <f t="shared" si="36"/>
        <v>0.63342215384775069</v>
      </c>
      <c r="U128" s="60">
        <f t="shared" si="36"/>
        <v>0.65572777313957276</v>
      </c>
    </row>
    <row r="129" spans="2:21" s="59" customFormat="1" ht="13.2" x14ac:dyDescent="0.3">
      <c r="B129" s="114">
        <f t="shared" si="19"/>
        <v>56</v>
      </c>
      <c r="C129" s="115" t="s">
        <v>122</v>
      </c>
      <c r="D129" s="131">
        <v>0.5</v>
      </c>
      <c r="E129" s="117" t="s">
        <v>101</v>
      </c>
      <c r="F129" s="118">
        <f t="shared" si="34"/>
        <v>1.9380354458097815</v>
      </c>
      <c r="G129" s="118">
        <f t="shared" si="34"/>
        <v>1.6360182432282524</v>
      </c>
      <c r="H129" s="118" t="s">
        <v>114</v>
      </c>
      <c r="I129" s="118">
        <f>F129*$D$21</f>
        <v>1395.3855209830426</v>
      </c>
      <c r="J129" s="120">
        <f>G129*$D$21</f>
        <v>1177.9331351243418</v>
      </c>
      <c r="L129" s="113">
        <f t="shared" si="37"/>
        <v>0</v>
      </c>
      <c r="M129" s="113">
        <f t="shared" si="37"/>
        <v>0</v>
      </c>
      <c r="O129" s="57">
        <v>0.52058730943459164</v>
      </c>
      <c r="P129" s="57">
        <v>0.45558043389214853</v>
      </c>
      <c r="R129" s="57">
        <v>1.4174481363751898</v>
      </c>
      <c r="S129" s="57">
        <v>1.1804378093361039</v>
      </c>
      <c r="T129" s="60">
        <f t="shared" si="36"/>
        <v>0.36727079889206982</v>
      </c>
      <c r="U129" s="60">
        <f t="shared" si="36"/>
        <v>0.38594191942087486</v>
      </c>
    </row>
    <row r="130" spans="2:21" s="59" customFormat="1" ht="13.2" x14ac:dyDescent="0.3">
      <c r="B130" s="114">
        <f t="shared" si="19"/>
        <v>57</v>
      </c>
      <c r="C130" s="115" t="s">
        <v>123</v>
      </c>
      <c r="D130" s="131">
        <v>0.5</v>
      </c>
      <c r="E130" s="117" t="s">
        <v>101</v>
      </c>
      <c r="F130" s="118">
        <f t="shared" si="34"/>
        <v>2.3550810480726456</v>
      </c>
      <c r="G130" s="118">
        <f t="shared" si="34"/>
        <v>1.988072801897623</v>
      </c>
      <c r="H130" s="118" t="s">
        <v>114</v>
      </c>
      <c r="I130" s="118">
        <f>F130*$D$22</f>
        <v>1752.1802997660484</v>
      </c>
      <c r="J130" s="120">
        <f>G130*$D$22</f>
        <v>1479.1261646118314</v>
      </c>
      <c r="L130" s="113">
        <f t="shared" si="37"/>
        <v>0</v>
      </c>
      <c r="M130" s="113">
        <f t="shared" si="37"/>
        <v>0</v>
      </c>
      <c r="O130" s="57">
        <v>0.23889087263926356</v>
      </c>
      <c r="P130" s="57">
        <v>0.22572903021273549</v>
      </c>
      <c r="R130" s="57">
        <v>2.1161901754333821</v>
      </c>
      <c r="S130" s="57">
        <v>1.7623437716848875</v>
      </c>
      <c r="T130" s="60">
        <f t="shared" si="36"/>
        <v>0.11288724208841017</v>
      </c>
      <c r="U130" s="60">
        <f t="shared" si="36"/>
        <v>0.128084562069821</v>
      </c>
    </row>
    <row r="131" spans="2:21" s="59" customFormat="1" ht="13.2" x14ac:dyDescent="0.3">
      <c r="B131" s="114">
        <f t="shared" si="19"/>
        <v>58</v>
      </c>
      <c r="C131" s="115" t="s">
        <v>124</v>
      </c>
      <c r="D131" s="131">
        <v>0.5</v>
      </c>
      <c r="E131" s="117" t="s">
        <v>101</v>
      </c>
      <c r="F131" s="118">
        <f t="shared" si="34"/>
        <v>2.7966587445862667</v>
      </c>
      <c r="G131" s="118">
        <f t="shared" si="34"/>
        <v>2.3608364522534271</v>
      </c>
      <c r="H131" s="118" t="s">
        <v>114</v>
      </c>
      <c r="I131" s="118">
        <f>F131*$D$23</f>
        <v>2080.7141059721826</v>
      </c>
      <c r="J131" s="120">
        <f>G131*$D$23</f>
        <v>1756.4623204765498</v>
      </c>
      <c r="L131" s="113">
        <f t="shared" si="37"/>
        <v>0</v>
      </c>
      <c r="M131" s="113">
        <f t="shared" si="37"/>
        <v>0</v>
      </c>
      <c r="O131" s="57">
        <v>1.0797497343289946</v>
      </c>
      <c r="P131" s="57">
        <v>0.93101037333927317</v>
      </c>
      <c r="R131" s="57">
        <v>1.7169090102572722</v>
      </c>
      <c r="S131" s="57">
        <v>1.4298260789141539</v>
      </c>
      <c r="T131" s="60">
        <f t="shared" si="36"/>
        <v>0.62889164648696094</v>
      </c>
      <c r="U131" s="60">
        <f t="shared" si="36"/>
        <v>0.65113539826207822</v>
      </c>
    </row>
    <row r="132" spans="2:21" s="59" customFormat="1" ht="13.8" thickBot="1" x14ac:dyDescent="0.35">
      <c r="B132" s="114">
        <f t="shared" ref="B132:B145" si="38">B131+1</f>
        <v>59</v>
      </c>
      <c r="C132" s="115" t="s">
        <v>125</v>
      </c>
      <c r="D132" s="131">
        <v>0.5</v>
      </c>
      <c r="E132" s="117" t="s">
        <v>101</v>
      </c>
      <c r="F132" s="118">
        <f t="shared" si="34"/>
        <v>2.2569526710696191</v>
      </c>
      <c r="G132" s="118">
        <f t="shared" si="34"/>
        <v>1.9052364351518889</v>
      </c>
      <c r="H132" s="118" t="s">
        <v>114</v>
      </c>
      <c r="I132" s="118">
        <f>F132*$D$24</f>
        <v>1625.0059231701257</v>
      </c>
      <c r="J132" s="120">
        <f>G132*$D$24</f>
        <v>1371.77023330936</v>
      </c>
      <c r="L132" s="113">
        <f t="shared" si="37"/>
        <v>0</v>
      </c>
      <c r="M132" s="113">
        <f t="shared" si="37"/>
        <v>0</v>
      </c>
      <c r="O132" s="57">
        <v>0.12079843737743134</v>
      </c>
      <c r="P132" s="57">
        <v>0.1262667788284646</v>
      </c>
      <c r="R132" s="57">
        <v>2.1361542336921877</v>
      </c>
      <c r="S132" s="57">
        <v>1.7789696563234243</v>
      </c>
      <c r="T132" s="60">
        <f t="shared" si="36"/>
        <v>5.6549492294215131E-2</v>
      </c>
      <c r="U132" s="60">
        <f t="shared" si="36"/>
        <v>7.0977477541364298E-2</v>
      </c>
    </row>
    <row r="133" spans="2:21" s="59" customFormat="1" ht="13.8" thickBot="1" x14ac:dyDescent="0.35">
      <c r="B133" s="210" t="s">
        <v>156</v>
      </c>
      <c r="C133" s="211"/>
      <c r="D133" s="211"/>
      <c r="E133" s="211"/>
      <c r="F133" s="211"/>
      <c r="G133" s="211"/>
      <c r="H133" s="211"/>
      <c r="I133" s="211"/>
      <c r="J133" s="212"/>
    </row>
    <row r="134" spans="2:21" s="59" customFormat="1" ht="13.2" x14ac:dyDescent="0.3">
      <c r="B134" s="114">
        <f>B132+1</f>
        <v>60</v>
      </c>
      <c r="C134" s="115" t="s">
        <v>127</v>
      </c>
      <c r="D134" s="131">
        <v>0.5</v>
      </c>
      <c r="E134" s="117" t="s">
        <v>101</v>
      </c>
      <c r="F134" s="118">
        <f t="shared" ref="F134:G145" si="39">F89*$D134</f>
        <v>6.034895185686155</v>
      </c>
      <c r="G134" s="118">
        <f t="shared" si="39"/>
        <v>5.0944365548626589</v>
      </c>
      <c r="H134" s="118" t="s">
        <v>128</v>
      </c>
      <c r="I134" s="118">
        <f>F134*$D$25</f>
        <v>4489.9620181504997</v>
      </c>
      <c r="J134" s="120">
        <f>G134*$D$25</f>
        <v>3790.2607968178181</v>
      </c>
      <c r="O134" s="57">
        <v>0.6645635140674786</v>
      </c>
      <c r="P134" s="57">
        <v>0.62207358709629368</v>
      </c>
      <c r="R134" s="57">
        <v>5.3703316716186764</v>
      </c>
      <c r="S134" s="57">
        <v>4.4723629677663652</v>
      </c>
      <c r="T134" s="60">
        <f t="shared" ref="T134:U145" si="40">F134/R134-1</f>
        <v>0.12374720123518412</v>
      </c>
      <c r="U134" s="60">
        <f t="shared" si="40"/>
        <v>0.13909282220154329</v>
      </c>
    </row>
    <row r="135" spans="2:21" s="59" customFormat="1" ht="13.2" x14ac:dyDescent="0.3">
      <c r="B135" s="114">
        <f t="shared" si="38"/>
        <v>61</v>
      </c>
      <c r="C135" s="115" t="s">
        <v>129</v>
      </c>
      <c r="D135" s="131">
        <v>0.5</v>
      </c>
      <c r="E135" s="117" t="s">
        <v>101</v>
      </c>
      <c r="F135" s="118">
        <f t="shared" si="39"/>
        <v>7.6785455004868552</v>
      </c>
      <c r="G135" s="118">
        <f t="shared" si="39"/>
        <v>6.4819456978537087</v>
      </c>
      <c r="H135" s="118" t="s">
        <v>128</v>
      </c>
      <c r="I135" s="118">
        <f>F135*$D$26</f>
        <v>5528.5527603505361</v>
      </c>
      <c r="J135" s="120">
        <f>G135*$D$26</f>
        <v>4667.0009024546698</v>
      </c>
      <c r="O135" s="57">
        <v>1.2347129105546806E-2</v>
      </c>
      <c r="P135" s="57">
        <v>9.7605996655626193E-2</v>
      </c>
      <c r="R135" s="57">
        <v>7.6661983713813084</v>
      </c>
      <c r="S135" s="57">
        <v>6.3843397011980825</v>
      </c>
      <c r="T135" s="60">
        <f t="shared" si="40"/>
        <v>1.6105934789842902E-3</v>
      </c>
      <c r="U135" s="60">
        <f t="shared" si="40"/>
        <v>1.5288346363729666E-2</v>
      </c>
    </row>
    <row r="136" spans="2:21" s="59" customFormat="1" ht="13.2" x14ac:dyDescent="0.3">
      <c r="B136" s="114">
        <f t="shared" si="38"/>
        <v>62</v>
      </c>
      <c r="C136" s="115" t="s">
        <v>130</v>
      </c>
      <c r="D136" s="131">
        <v>0.5</v>
      </c>
      <c r="E136" s="117" t="s">
        <v>101</v>
      </c>
      <c r="F136" s="118">
        <f t="shared" si="39"/>
        <v>11.505552203604905</v>
      </c>
      <c r="G136" s="118">
        <f t="shared" si="39"/>
        <v>9.7125640009373466</v>
      </c>
      <c r="H136" s="118" t="s">
        <v>128</v>
      </c>
      <c r="I136" s="118">
        <f>F136*$D$27</f>
        <v>8560.1308394820499</v>
      </c>
      <c r="J136" s="120">
        <f>G136*$D$27</f>
        <v>7226.1476166973862</v>
      </c>
      <c r="O136" s="57">
        <v>0.70499668559113537</v>
      </c>
      <c r="P136" s="57">
        <v>0.71796041148900613</v>
      </c>
      <c r="R136" s="57">
        <v>10.80055551801377</v>
      </c>
      <c r="S136" s="57">
        <v>8.9946035894483405</v>
      </c>
      <c r="T136" s="60">
        <f t="shared" si="40"/>
        <v>6.5274113393084532E-2</v>
      </c>
      <c r="U136" s="60">
        <f t="shared" si="40"/>
        <v>7.9821239963399071E-2</v>
      </c>
    </row>
    <row r="137" spans="2:21" s="59" customFormat="1" ht="13.2" x14ac:dyDescent="0.3">
      <c r="B137" s="114">
        <f t="shared" si="38"/>
        <v>63</v>
      </c>
      <c r="C137" s="115" t="s">
        <v>131</v>
      </c>
      <c r="D137" s="131">
        <v>0.5</v>
      </c>
      <c r="E137" s="117" t="s">
        <v>101</v>
      </c>
      <c r="F137" s="118">
        <f t="shared" si="39"/>
        <v>14.596596079200253</v>
      </c>
      <c r="G137" s="118">
        <f t="shared" si="39"/>
        <v>12.321909553427977</v>
      </c>
      <c r="H137" s="118" t="s">
        <v>128</v>
      </c>
      <c r="I137" s="118">
        <f>F137*$D$28</f>
        <v>10859.867482924989</v>
      </c>
      <c r="J137" s="120">
        <f>G137*$D$28</f>
        <v>9167.5007077504142</v>
      </c>
      <c r="O137" s="57">
        <v>2.7179814152109856</v>
      </c>
      <c r="P137" s="57">
        <v>2.4295081934986555</v>
      </c>
      <c r="R137" s="57">
        <v>11.878614663989268</v>
      </c>
      <c r="S137" s="57">
        <v>9.8924013599293215</v>
      </c>
      <c r="T137" s="60">
        <f t="shared" si="40"/>
        <v>0.22881299647261977</v>
      </c>
      <c r="U137" s="60">
        <f t="shared" si="40"/>
        <v>0.24559337061876074</v>
      </c>
    </row>
    <row r="138" spans="2:21" s="59" customFormat="1" ht="13.2" x14ac:dyDescent="0.3">
      <c r="B138" s="114">
        <f t="shared" si="38"/>
        <v>64</v>
      </c>
      <c r="C138" s="115" t="s">
        <v>132</v>
      </c>
      <c r="D138" s="131">
        <v>0.5</v>
      </c>
      <c r="E138" s="117" t="s">
        <v>101</v>
      </c>
      <c r="F138" s="118">
        <f t="shared" si="39"/>
        <v>10.229883302565554</v>
      </c>
      <c r="G138" s="118">
        <f t="shared" si="39"/>
        <v>8.6356912332428006</v>
      </c>
      <c r="H138" s="118" t="s">
        <v>128</v>
      </c>
      <c r="I138" s="118">
        <f>F138*$D$29</f>
        <v>6874.4815793240523</v>
      </c>
      <c r="J138" s="120">
        <f>G138*$D$29</f>
        <v>5803.1845087391621</v>
      </c>
      <c r="O138" s="57">
        <v>2.3640443485961908</v>
      </c>
      <c r="P138" s="57">
        <v>2.085092685659351</v>
      </c>
      <c r="R138" s="57">
        <v>7.8658389539693632</v>
      </c>
      <c r="S138" s="57">
        <v>6.5505985475834496</v>
      </c>
      <c r="T138" s="60">
        <f t="shared" si="40"/>
        <v>0.30054573484538682</v>
      </c>
      <c r="U138" s="60">
        <f t="shared" si="40"/>
        <v>0.31830567397975451</v>
      </c>
    </row>
    <row r="139" spans="2:21" s="59" customFormat="1" ht="13.2" x14ac:dyDescent="0.3">
      <c r="B139" s="114">
        <f t="shared" si="38"/>
        <v>65</v>
      </c>
      <c r="C139" s="115" t="s">
        <v>133</v>
      </c>
      <c r="D139" s="131">
        <v>0.5</v>
      </c>
      <c r="E139" s="117" t="s">
        <v>101</v>
      </c>
      <c r="F139" s="118">
        <f t="shared" si="39"/>
        <v>7.8993343487436665</v>
      </c>
      <c r="G139" s="118">
        <f t="shared" si="39"/>
        <v>6.6683275230316115</v>
      </c>
      <c r="H139" s="118" t="s">
        <v>128</v>
      </c>
      <c r="I139" s="118">
        <f>F139*$D$30</f>
        <v>5877.1047554652878</v>
      </c>
      <c r="J139" s="120">
        <f>G139*$D$30</f>
        <v>4961.2356771355189</v>
      </c>
      <c r="O139" s="57">
        <v>1.3511232398554656</v>
      </c>
      <c r="P139" s="57">
        <v>1.215037361591583</v>
      </c>
      <c r="R139" s="57">
        <v>6.5482111088882009</v>
      </c>
      <c r="S139" s="57">
        <v>5.4532901614400284</v>
      </c>
      <c r="T139" s="60">
        <f t="shared" si="40"/>
        <v>0.20633470995177916</v>
      </c>
      <c r="U139" s="60">
        <f t="shared" si="40"/>
        <v>0.22280812603427158</v>
      </c>
    </row>
    <row r="140" spans="2:21" s="59" customFormat="1" ht="13.2" x14ac:dyDescent="0.3">
      <c r="B140" s="114">
        <f t="shared" si="38"/>
        <v>66</v>
      </c>
      <c r="C140" s="115" t="s">
        <v>134</v>
      </c>
      <c r="D140" s="131">
        <v>0.5</v>
      </c>
      <c r="E140" s="117" t="s">
        <v>101</v>
      </c>
      <c r="F140" s="118">
        <f t="shared" si="39"/>
        <v>6.3292803166952352</v>
      </c>
      <c r="G140" s="118">
        <f t="shared" si="39"/>
        <v>5.3429456550998626</v>
      </c>
      <c r="H140" s="118" t="s">
        <v>128</v>
      </c>
      <c r="I140" s="118">
        <f>F140*$D$19</f>
        <v>4557.0818280205694</v>
      </c>
      <c r="J140" s="120">
        <f>G140*$D$19</f>
        <v>3846.9208716719013</v>
      </c>
      <c r="O140" s="57">
        <v>2.6558935970750248</v>
      </c>
      <c r="P140" s="57">
        <v>2.2837828816091146</v>
      </c>
      <c r="R140" s="57">
        <v>3.6733867196202104</v>
      </c>
      <c r="S140" s="57">
        <v>3.0591627734907481</v>
      </c>
      <c r="T140" s="60">
        <f t="shared" si="40"/>
        <v>0.72300952766269488</v>
      </c>
      <c r="U140" s="60">
        <f t="shared" si="40"/>
        <v>0.74653853054152353</v>
      </c>
    </row>
    <row r="141" spans="2:21" s="59" customFormat="1" ht="13.2" x14ac:dyDescent="0.3">
      <c r="B141" s="114">
        <f t="shared" si="38"/>
        <v>67</v>
      </c>
      <c r="C141" s="115" t="s">
        <v>135</v>
      </c>
      <c r="D141" s="131">
        <v>0.5</v>
      </c>
      <c r="E141" s="117" t="s">
        <v>101</v>
      </c>
      <c r="F141" s="118">
        <f t="shared" si="39"/>
        <v>5.3725286409157231</v>
      </c>
      <c r="G141" s="118">
        <f t="shared" si="39"/>
        <v>4.5352910793289523</v>
      </c>
      <c r="H141" s="118" t="s">
        <v>128</v>
      </c>
      <c r="I141" s="118">
        <f>F141*$D$20</f>
        <v>3997.1613088412978</v>
      </c>
      <c r="J141" s="120">
        <f>G141*$D$20</f>
        <v>3374.2565630207405</v>
      </c>
      <c r="O141" s="57">
        <v>2.0984230864716227</v>
      </c>
      <c r="P141" s="57">
        <v>1.808645998608938</v>
      </c>
      <c r="R141" s="57">
        <v>3.2741055544441005</v>
      </c>
      <c r="S141" s="57">
        <v>2.7266450807200142</v>
      </c>
      <c r="T141" s="60">
        <f t="shared" si="40"/>
        <v>0.64091491602136408</v>
      </c>
      <c r="U141" s="60">
        <f t="shared" si="40"/>
        <v>0.66332285466773544</v>
      </c>
    </row>
    <row r="142" spans="2:21" s="59" customFormat="1" ht="13.2" x14ac:dyDescent="0.3">
      <c r="B142" s="114">
        <f t="shared" si="38"/>
        <v>68</v>
      </c>
      <c r="C142" s="115" t="s">
        <v>136</v>
      </c>
      <c r="D142" s="131">
        <v>0.5</v>
      </c>
      <c r="E142" s="117" t="s">
        <v>101</v>
      </c>
      <c r="F142" s="118">
        <f t="shared" si="39"/>
        <v>3.876070891619563</v>
      </c>
      <c r="G142" s="118">
        <f t="shared" si="39"/>
        <v>3.2720364864565048</v>
      </c>
      <c r="H142" s="118" t="s">
        <v>128</v>
      </c>
      <c r="I142" s="118">
        <f>F142*$D$21</f>
        <v>2790.7710419660852</v>
      </c>
      <c r="J142" s="120">
        <f>G142*$D$21</f>
        <v>2355.8662702486836</v>
      </c>
      <c r="O142" s="57">
        <v>1.0411746188691833</v>
      </c>
      <c r="P142" s="57">
        <v>0.91116086778429706</v>
      </c>
      <c r="R142" s="57">
        <v>2.8348962727503797</v>
      </c>
      <c r="S142" s="57">
        <v>2.3608756186722077</v>
      </c>
      <c r="T142" s="60">
        <f t="shared" si="40"/>
        <v>0.36727079889206982</v>
      </c>
      <c r="U142" s="60">
        <f t="shared" si="40"/>
        <v>0.38594191942087486</v>
      </c>
    </row>
    <row r="143" spans="2:21" s="59" customFormat="1" ht="13.2" x14ac:dyDescent="0.3">
      <c r="B143" s="114">
        <f t="shared" si="38"/>
        <v>69</v>
      </c>
      <c r="C143" s="115" t="s">
        <v>137</v>
      </c>
      <c r="D143" s="131">
        <v>0.5</v>
      </c>
      <c r="E143" s="117" t="s">
        <v>101</v>
      </c>
      <c r="F143" s="118">
        <f t="shared" si="39"/>
        <v>4.7101620961452912</v>
      </c>
      <c r="G143" s="118">
        <f t="shared" si="39"/>
        <v>3.9761456037952461</v>
      </c>
      <c r="H143" s="118" t="s">
        <v>128</v>
      </c>
      <c r="I143" s="118">
        <f>F143*$D$22</f>
        <v>3504.3605995320968</v>
      </c>
      <c r="J143" s="120">
        <f>G143*$D$22</f>
        <v>2958.2523292236629</v>
      </c>
      <c r="O143" s="57">
        <v>0.45781768701972236</v>
      </c>
      <c r="P143" s="57">
        <v>0.43483217578693445</v>
      </c>
      <c r="R143" s="57">
        <v>4.2523444091255689</v>
      </c>
      <c r="S143" s="57">
        <v>3.5413134280083116</v>
      </c>
      <c r="T143" s="60">
        <f t="shared" si="40"/>
        <v>0.10766241935560106</v>
      </c>
      <c r="U143" s="60">
        <f t="shared" si="40"/>
        <v>0.12278839041691114</v>
      </c>
    </row>
    <row r="144" spans="2:21" s="59" customFormat="1" ht="13.2" x14ac:dyDescent="0.3">
      <c r="B144" s="114">
        <f t="shared" si="38"/>
        <v>70</v>
      </c>
      <c r="C144" s="115" t="s">
        <v>138</v>
      </c>
      <c r="D144" s="131">
        <v>0.5</v>
      </c>
      <c r="E144" s="117" t="s">
        <v>101</v>
      </c>
      <c r="F144" s="118">
        <f t="shared" si="39"/>
        <v>5.6178495834232907</v>
      </c>
      <c r="G144" s="118">
        <f t="shared" si="39"/>
        <v>4.7423819961932887</v>
      </c>
      <c r="H144" s="118" t="s">
        <v>128</v>
      </c>
      <c r="I144" s="118">
        <f>F144*$D$23</f>
        <v>4179.6800900669286</v>
      </c>
      <c r="J144" s="120">
        <f>G144*$D$23</f>
        <v>3528.3322051678069</v>
      </c>
      <c r="O144" s="57">
        <v>2.1640675046499407</v>
      </c>
      <c r="P144" s="57">
        <v>1.8661039537264439</v>
      </c>
      <c r="R144" s="57">
        <v>3.45378207877335</v>
      </c>
      <c r="S144" s="57">
        <v>2.8762780424668448</v>
      </c>
      <c r="T144" s="60">
        <f t="shared" si="40"/>
        <v>0.62657905313427698</v>
      </c>
      <c r="U144" s="60">
        <f t="shared" si="40"/>
        <v>0.64879122469188566</v>
      </c>
    </row>
    <row r="145" spans="2:21" s="59" customFormat="1" ht="13.8" thickBot="1" x14ac:dyDescent="0.35">
      <c r="B145" s="138">
        <f t="shared" si="38"/>
        <v>71</v>
      </c>
      <c r="C145" s="139" t="s">
        <v>157</v>
      </c>
      <c r="D145" s="140">
        <v>0.5</v>
      </c>
      <c r="E145" s="141" t="s">
        <v>101</v>
      </c>
      <c r="F145" s="142">
        <f t="shared" si="39"/>
        <v>4.5139053421392381</v>
      </c>
      <c r="G145" s="142">
        <f t="shared" si="39"/>
        <v>3.8104728703037778</v>
      </c>
      <c r="H145" s="142" t="s">
        <v>128</v>
      </c>
      <c r="I145" s="142">
        <f>F145*$D$24</f>
        <v>3250.0118463402514</v>
      </c>
      <c r="J145" s="143">
        <f>G145*$D$24</f>
        <v>2743.5404666187201</v>
      </c>
      <c r="O145" s="57">
        <v>0.22163281649605793</v>
      </c>
      <c r="P145" s="57">
        <v>0.2359076730183931</v>
      </c>
      <c r="R145" s="57">
        <v>4.2922725256431802</v>
      </c>
      <c r="S145" s="57">
        <v>3.5745651972853847</v>
      </c>
      <c r="T145" s="60">
        <f t="shared" si="40"/>
        <v>5.1635308609125907E-2</v>
      </c>
      <c r="U145" s="60">
        <f t="shared" si="40"/>
        <v>6.5996186948148905E-2</v>
      </c>
    </row>
    <row r="146" spans="2:21" s="59" customFormat="1" ht="13.8" thickBot="1" x14ac:dyDescent="0.35">
      <c r="B146" s="213" t="s">
        <v>158</v>
      </c>
      <c r="C146" s="214"/>
      <c r="D146" s="214"/>
      <c r="E146" s="214"/>
      <c r="F146" s="214"/>
      <c r="G146" s="214"/>
      <c r="H146" s="214"/>
      <c r="I146" s="214"/>
      <c r="J146" s="215"/>
    </row>
    <row r="147" spans="2:21" s="59" customFormat="1" ht="13.2" x14ac:dyDescent="0.3">
      <c r="B147" s="132">
        <f>B145+1</f>
        <v>72</v>
      </c>
      <c r="C147" s="133" t="s">
        <v>141</v>
      </c>
      <c r="D147" s="134">
        <v>0.5</v>
      </c>
      <c r="E147" s="135" t="s">
        <v>101</v>
      </c>
      <c r="F147" s="136">
        <f>F134</f>
        <v>6.034895185686155</v>
      </c>
      <c r="G147" s="136">
        <f>G134</f>
        <v>5.0944365548626589</v>
      </c>
      <c r="H147" s="136" t="s">
        <v>101</v>
      </c>
      <c r="I147" s="136">
        <f t="shared" ref="I147:J158" si="41">I134</f>
        <v>4489.9620181504997</v>
      </c>
      <c r="J147" s="144">
        <f t="shared" si="41"/>
        <v>3790.2607968178181</v>
      </c>
      <c r="O147" s="57">
        <v>0.6645635140674786</v>
      </c>
      <c r="P147" s="57">
        <v>0.62207358709629368</v>
      </c>
      <c r="R147" s="57">
        <v>5.3703316716186764</v>
      </c>
      <c r="S147" s="57">
        <v>4.4723629677663652</v>
      </c>
      <c r="T147" s="60">
        <f t="shared" ref="T147:U158" si="42">F147/R147-1</f>
        <v>0.12374720123518412</v>
      </c>
      <c r="U147" s="60">
        <f t="shared" si="42"/>
        <v>0.13909282220154329</v>
      </c>
    </row>
    <row r="148" spans="2:21" s="59" customFormat="1" ht="13.2" x14ac:dyDescent="0.3">
      <c r="B148" s="114">
        <f>B147+1</f>
        <v>73</v>
      </c>
      <c r="C148" s="115" t="s">
        <v>142</v>
      </c>
      <c r="D148" s="131">
        <v>0.5</v>
      </c>
      <c r="E148" s="117" t="s">
        <v>101</v>
      </c>
      <c r="F148" s="118">
        <f t="shared" ref="F148:G158" si="43">F135</f>
        <v>7.6785455004868552</v>
      </c>
      <c r="G148" s="118">
        <f t="shared" si="43"/>
        <v>6.4819456978537087</v>
      </c>
      <c r="H148" s="118" t="s">
        <v>101</v>
      </c>
      <c r="I148" s="118">
        <f t="shared" si="41"/>
        <v>5528.5527603505361</v>
      </c>
      <c r="J148" s="145">
        <f t="shared" si="41"/>
        <v>4667.0009024546698</v>
      </c>
      <c r="O148" s="57">
        <v>1.2347129105546806E-2</v>
      </c>
      <c r="P148" s="57">
        <v>9.7605996655626193E-2</v>
      </c>
      <c r="R148" s="57">
        <v>7.6661983713813084</v>
      </c>
      <c r="S148" s="57">
        <v>6.3843397011980825</v>
      </c>
      <c r="T148" s="60">
        <f t="shared" si="42"/>
        <v>1.6105934789842902E-3</v>
      </c>
      <c r="U148" s="60">
        <f t="shared" si="42"/>
        <v>1.5288346363729666E-2</v>
      </c>
    </row>
    <row r="149" spans="2:21" s="59" customFormat="1" ht="13.2" x14ac:dyDescent="0.3">
      <c r="B149" s="114">
        <f t="shared" ref="B149:B159" si="44">B148+1</f>
        <v>74</v>
      </c>
      <c r="C149" s="115" t="s">
        <v>143</v>
      </c>
      <c r="D149" s="131">
        <v>0.5</v>
      </c>
      <c r="E149" s="117" t="s">
        <v>101</v>
      </c>
      <c r="F149" s="118">
        <f t="shared" si="43"/>
        <v>11.505552203604905</v>
      </c>
      <c r="G149" s="118">
        <f t="shared" si="43"/>
        <v>9.7125640009373466</v>
      </c>
      <c r="H149" s="118" t="s">
        <v>101</v>
      </c>
      <c r="I149" s="118">
        <f t="shared" si="41"/>
        <v>8560.1308394820499</v>
      </c>
      <c r="J149" s="145">
        <f t="shared" si="41"/>
        <v>7226.1476166973862</v>
      </c>
      <c r="O149" s="57">
        <v>0.70499668559113537</v>
      </c>
      <c r="P149" s="57">
        <v>0.71796041148900613</v>
      </c>
      <c r="R149" s="57">
        <v>10.80055551801377</v>
      </c>
      <c r="S149" s="57">
        <v>8.9946035894483405</v>
      </c>
      <c r="T149" s="60">
        <f t="shared" si="42"/>
        <v>6.5274113393084532E-2</v>
      </c>
      <c r="U149" s="60">
        <f t="shared" si="42"/>
        <v>7.9821239963399071E-2</v>
      </c>
    </row>
    <row r="150" spans="2:21" s="59" customFormat="1" ht="13.2" x14ac:dyDescent="0.3">
      <c r="B150" s="114">
        <f t="shared" si="44"/>
        <v>75</v>
      </c>
      <c r="C150" s="115" t="s">
        <v>144</v>
      </c>
      <c r="D150" s="131">
        <v>0.5</v>
      </c>
      <c r="E150" s="117" t="s">
        <v>101</v>
      </c>
      <c r="F150" s="118">
        <f t="shared" si="43"/>
        <v>14.596596079200253</v>
      </c>
      <c r="G150" s="118">
        <f t="shared" si="43"/>
        <v>12.321909553427977</v>
      </c>
      <c r="H150" s="118" t="s">
        <v>101</v>
      </c>
      <c r="I150" s="118">
        <f t="shared" si="41"/>
        <v>10859.867482924989</v>
      </c>
      <c r="J150" s="145">
        <f t="shared" si="41"/>
        <v>9167.5007077504142</v>
      </c>
      <c r="O150" s="57">
        <v>2.7179814152109856</v>
      </c>
      <c r="P150" s="57">
        <v>2.4295081934986555</v>
      </c>
      <c r="R150" s="57">
        <v>11.878614663989268</v>
      </c>
      <c r="S150" s="57">
        <v>9.8924013599293215</v>
      </c>
      <c r="T150" s="60">
        <f t="shared" si="42"/>
        <v>0.22881299647261977</v>
      </c>
      <c r="U150" s="60">
        <f t="shared" si="42"/>
        <v>0.24559337061876074</v>
      </c>
    </row>
    <row r="151" spans="2:21" s="59" customFormat="1" ht="13.2" x14ac:dyDescent="0.3">
      <c r="B151" s="114">
        <f t="shared" si="44"/>
        <v>76</v>
      </c>
      <c r="C151" s="115" t="s">
        <v>145</v>
      </c>
      <c r="D151" s="131">
        <v>0.5</v>
      </c>
      <c r="E151" s="117" t="s">
        <v>101</v>
      </c>
      <c r="F151" s="118">
        <f t="shared" si="43"/>
        <v>10.229883302565554</v>
      </c>
      <c r="G151" s="118">
        <f t="shared" si="43"/>
        <v>8.6356912332428006</v>
      </c>
      <c r="H151" s="118" t="s">
        <v>101</v>
      </c>
      <c r="I151" s="118">
        <f t="shared" si="41"/>
        <v>6874.4815793240523</v>
      </c>
      <c r="J151" s="145">
        <f t="shared" si="41"/>
        <v>5803.1845087391621</v>
      </c>
      <c r="O151" s="57">
        <v>2.3640443485961908</v>
      </c>
      <c r="P151" s="57">
        <v>2.085092685659351</v>
      </c>
      <c r="R151" s="57">
        <v>7.8658389539693632</v>
      </c>
      <c r="S151" s="57">
        <v>6.5505985475834496</v>
      </c>
      <c r="T151" s="60">
        <f t="shared" si="42"/>
        <v>0.30054573484538682</v>
      </c>
      <c r="U151" s="60">
        <f t="shared" si="42"/>
        <v>0.31830567397975451</v>
      </c>
    </row>
    <row r="152" spans="2:21" s="59" customFormat="1" ht="13.2" x14ac:dyDescent="0.3">
      <c r="B152" s="114">
        <f t="shared" si="44"/>
        <v>77</v>
      </c>
      <c r="C152" s="115" t="s">
        <v>146</v>
      </c>
      <c r="D152" s="131">
        <v>0.5</v>
      </c>
      <c r="E152" s="117" t="s">
        <v>101</v>
      </c>
      <c r="F152" s="118">
        <f t="shared" si="43"/>
        <v>7.8993343487436665</v>
      </c>
      <c r="G152" s="118">
        <f t="shared" si="43"/>
        <v>6.6683275230316115</v>
      </c>
      <c r="H152" s="118" t="s">
        <v>101</v>
      </c>
      <c r="I152" s="118">
        <f t="shared" si="41"/>
        <v>5877.1047554652878</v>
      </c>
      <c r="J152" s="145">
        <f t="shared" si="41"/>
        <v>4961.2356771355189</v>
      </c>
      <c r="O152" s="57">
        <v>1.3511232398554656</v>
      </c>
      <c r="P152" s="57">
        <v>1.215037361591583</v>
      </c>
      <c r="R152" s="57">
        <v>6.5482111088882009</v>
      </c>
      <c r="S152" s="57">
        <v>5.4532901614400284</v>
      </c>
      <c r="T152" s="60">
        <f t="shared" si="42"/>
        <v>0.20633470995177916</v>
      </c>
      <c r="U152" s="60">
        <f t="shared" si="42"/>
        <v>0.22280812603427158</v>
      </c>
    </row>
    <row r="153" spans="2:21" s="59" customFormat="1" ht="13.2" x14ac:dyDescent="0.3">
      <c r="B153" s="114">
        <f t="shared" si="44"/>
        <v>78</v>
      </c>
      <c r="C153" s="115" t="s">
        <v>147</v>
      </c>
      <c r="D153" s="131">
        <v>0.5</v>
      </c>
      <c r="E153" s="117" t="s">
        <v>101</v>
      </c>
      <c r="F153" s="118">
        <f t="shared" si="43"/>
        <v>6.3292803166952352</v>
      </c>
      <c r="G153" s="118">
        <f t="shared" si="43"/>
        <v>5.3429456550998626</v>
      </c>
      <c r="H153" s="118" t="s">
        <v>101</v>
      </c>
      <c r="I153" s="118">
        <f t="shared" si="41"/>
        <v>4557.0818280205694</v>
      </c>
      <c r="J153" s="145">
        <f t="shared" si="41"/>
        <v>3846.9208716719013</v>
      </c>
      <c r="O153" s="57">
        <v>2.6558935970750248</v>
      </c>
      <c r="P153" s="57">
        <v>2.2837828816091146</v>
      </c>
      <c r="R153" s="57">
        <v>3.6733867196202104</v>
      </c>
      <c r="S153" s="57">
        <v>3.0591627734907481</v>
      </c>
      <c r="T153" s="60">
        <f t="shared" si="42"/>
        <v>0.72300952766269488</v>
      </c>
      <c r="U153" s="60">
        <f t="shared" si="42"/>
        <v>0.74653853054152353</v>
      </c>
    </row>
    <row r="154" spans="2:21" s="59" customFormat="1" ht="13.2" x14ac:dyDescent="0.3">
      <c r="B154" s="114">
        <f t="shared" si="44"/>
        <v>79</v>
      </c>
      <c r="C154" s="115" t="s">
        <v>148</v>
      </c>
      <c r="D154" s="131">
        <v>0.5</v>
      </c>
      <c r="E154" s="117" t="s">
        <v>101</v>
      </c>
      <c r="F154" s="118">
        <f t="shared" si="43"/>
        <v>5.3725286409157231</v>
      </c>
      <c r="G154" s="118">
        <f t="shared" si="43"/>
        <v>4.5352910793289523</v>
      </c>
      <c r="H154" s="118" t="s">
        <v>101</v>
      </c>
      <c r="I154" s="118">
        <f t="shared" si="41"/>
        <v>3997.1613088412978</v>
      </c>
      <c r="J154" s="145">
        <f t="shared" si="41"/>
        <v>3374.2565630207405</v>
      </c>
      <c r="O154" s="57">
        <v>2.0984230864716227</v>
      </c>
      <c r="P154" s="57">
        <v>1.808645998608938</v>
      </c>
      <c r="R154" s="57">
        <v>3.2741055544441005</v>
      </c>
      <c r="S154" s="57">
        <v>2.7266450807200142</v>
      </c>
      <c r="T154" s="60">
        <f t="shared" si="42"/>
        <v>0.64091491602136408</v>
      </c>
      <c r="U154" s="60">
        <f t="shared" si="42"/>
        <v>0.66332285466773544</v>
      </c>
    </row>
    <row r="155" spans="2:21" s="59" customFormat="1" ht="13.2" x14ac:dyDescent="0.3">
      <c r="B155" s="114">
        <f t="shared" si="44"/>
        <v>80</v>
      </c>
      <c r="C155" s="115" t="s">
        <v>149</v>
      </c>
      <c r="D155" s="131">
        <v>0.5</v>
      </c>
      <c r="E155" s="117" t="s">
        <v>101</v>
      </c>
      <c r="F155" s="118">
        <f t="shared" si="43"/>
        <v>3.876070891619563</v>
      </c>
      <c r="G155" s="118">
        <f t="shared" si="43"/>
        <v>3.2720364864565048</v>
      </c>
      <c r="H155" s="118" t="s">
        <v>101</v>
      </c>
      <c r="I155" s="118">
        <f t="shared" si="41"/>
        <v>2790.7710419660852</v>
      </c>
      <c r="J155" s="145">
        <f t="shared" si="41"/>
        <v>2355.8662702486836</v>
      </c>
      <c r="O155" s="57">
        <v>1.0411746188691833</v>
      </c>
      <c r="P155" s="57">
        <v>0.91116086778429706</v>
      </c>
      <c r="R155" s="57">
        <v>2.8348962727503797</v>
      </c>
      <c r="S155" s="57">
        <v>2.3608756186722077</v>
      </c>
      <c r="T155" s="60">
        <f t="shared" si="42"/>
        <v>0.36727079889206982</v>
      </c>
      <c r="U155" s="60">
        <f t="shared" si="42"/>
        <v>0.38594191942087486</v>
      </c>
    </row>
    <row r="156" spans="2:21" s="59" customFormat="1" ht="13.2" x14ac:dyDescent="0.3">
      <c r="B156" s="114">
        <f t="shared" si="44"/>
        <v>81</v>
      </c>
      <c r="C156" s="115" t="s">
        <v>150</v>
      </c>
      <c r="D156" s="131">
        <v>0.5</v>
      </c>
      <c r="E156" s="117" t="s">
        <v>101</v>
      </c>
      <c r="F156" s="118">
        <f t="shared" si="43"/>
        <v>4.7101620961452912</v>
      </c>
      <c r="G156" s="118">
        <f t="shared" si="43"/>
        <v>3.9761456037952461</v>
      </c>
      <c r="H156" s="118" t="s">
        <v>101</v>
      </c>
      <c r="I156" s="118">
        <f t="shared" si="41"/>
        <v>3504.3605995320968</v>
      </c>
      <c r="J156" s="145">
        <f t="shared" si="41"/>
        <v>2958.2523292236629</v>
      </c>
      <c r="O156" s="57">
        <v>0.45781768701972236</v>
      </c>
      <c r="P156" s="57">
        <v>0.43483217578693445</v>
      </c>
      <c r="R156" s="57">
        <v>4.2523444091255689</v>
      </c>
      <c r="S156" s="57">
        <v>3.5413134280083116</v>
      </c>
      <c r="T156" s="60">
        <f t="shared" si="42"/>
        <v>0.10766241935560106</v>
      </c>
      <c r="U156" s="60">
        <f t="shared" si="42"/>
        <v>0.12278839041691114</v>
      </c>
    </row>
    <row r="157" spans="2:21" s="59" customFormat="1" ht="13.2" x14ac:dyDescent="0.3">
      <c r="B157" s="114">
        <f t="shared" si="44"/>
        <v>82</v>
      </c>
      <c r="C157" s="115" t="s">
        <v>151</v>
      </c>
      <c r="D157" s="131">
        <v>0.5</v>
      </c>
      <c r="E157" s="117" t="s">
        <v>101</v>
      </c>
      <c r="F157" s="118">
        <f t="shared" si="43"/>
        <v>5.6178495834232907</v>
      </c>
      <c r="G157" s="118">
        <f t="shared" si="43"/>
        <v>4.7423819961932887</v>
      </c>
      <c r="H157" s="118" t="s">
        <v>101</v>
      </c>
      <c r="I157" s="118">
        <f t="shared" si="41"/>
        <v>4179.6800900669286</v>
      </c>
      <c r="J157" s="145">
        <f t="shared" si="41"/>
        <v>3528.3322051678069</v>
      </c>
      <c r="O157" s="57">
        <v>2.1640675046499407</v>
      </c>
      <c r="P157" s="57">
        <v>1.8661039537264439</v>
      </c>
      <c r="R157" s="57">
        <v>3.45378207877335</v>
      </c>
      <c r="S157" s="57">
        <v>2.8762780424668448</v>
      </c>
      <c r="T157" s="60">
        <f t="shared" si="42"/>
        <v>0.62657905313427698</v>
      </c>
      <c r="U157" s="60">
        <f t="shared" si="42"/>
        <v>0.64879122469188566</v>
      </c>
    </row>
    <row r="158" spans="2:21" s="59" customFormat="1" ht="13.8" thickBot="1" x14ac:dyDescent="0.35">
      <c r="B158" s="138">
        <f t="shared" si="44"/>
        <v>83</v>
      </c>
      <c r="C158" s="139" t="s">
        <v>152</v>
      </c>
      <c r="D158" s="140">
        <v>0.5</v>
      </c>
      <c r="E158" s="141" t="s">
        <v>101</v>
      </c>
      <c r="F158" s="142">
        <f t="shared" si="43"/>
        <v>4.5139053421392381</v>
      </c>
      <c r="G158" s="142">
        <f t="shared" si="43"/>
        <v>3.8104728703037778</v>
      </c>
      <c r="H158" s="142" t="s">
        <v>101</v>
      </c>
      <c r="I158" s="142">
        <f t="shared" si="41"/>
        <v>3250.0118463402514</v>
      </c>
      <c r="J158" s="146">
        <f t="shared" si="41"/>
        <v>2743.5404666187201</v>
      </c>
      <c r="O158" s="57">
        <v>0.22163281649605793</v>
      </c>
      <c r="P158" s="57">
        <v>0.2359076730183931</v>
      </c>
      <c r="R158" s="57">
        <v>4.2922725256431802</v>
      </c>
      <c r="S158" s="57">
        <v>3.5745651972853847</v>
      </c>
      <c r="T158" s="60">
        <f t="shared" si="42"/>
        <v>5.1635308609125907E-2</v>
      </c>
      <c r="U158" s="60">
        <f t="shared" si="42"/>
        <v>6.5996186948148905E-2</v>
      </c>
    </row>
    <row r="159" spans="2:21" ht="15.6" customHeight="1" thickBot="1" x14ac:dyDescent="0.35">
      <c r="B159" s="147">
        <f t="shared" si="44"/>
        <v>84</v>
      </c>
      <c r="C159" s="148" t="s">
        <v>159</v>
      </c>
      <c r="D159" s="149"/>
      <c r="E159" s="150" t="s">
        <v>160</v>
      </c>
      <c r="F159" s="216">
        <f>D170</f>
        <v>1.9288869656286067</v>
      </c>
      <c r="G159" s="217"/>
      <c r="H159" s="149"/>
      <c r="I159" s="149"/>
      <c r="J159" s="151"/>
    </row>
    <row r="160" spans="2:21" ht="15.6" customHeight="1" thickTop="1" x14ac:dyDescent="0.3">
      <c r="B160" s="152"/>
      <c r="C160" s="153"/>
      <c r="D160" s="154"/>
      <c r="E160" s="155"/>
      <c r="F160" s="156"/>
      <c r="G160" s="156"/>
      <c r="H160" s="154"/>
      <c r="I160" s="154"/>
      <c r="J160" s="154"/>
    </row>
    <row r="161" spans="2:30" ht="15.6" customHeight="1" x14ac:dyDescent="0.3">
      <c r="B161" s="152"/>
      <c r="C161" s="153"/>
      <c r="D161" s="154"/>
      <c r="E161" s="155"/>
      <c r="F161" s="156"/>
      <c r="G161" s="156">
        <v>1046519.0059337456</v>
      </c>
      <c r="H161" s="154">
        <v>887475.59016689844</v>
      </c>
      <c r="I161" s="157">
        <f>H161/G161-1</f>
        <v>-0.15197374807822284</v>
      </c>
      <c r="J161" s="154"/>
    </row>
    <row r="162" spans="2:30" ht="15.6" customHeight="1" x14ac:dyDescent="0.3">
      <c r="B162" s="152"/>
      <c r="C162" s="153"/>
      <c r="D162" s="154"/>
      <c r="E162" s="155"/>
      <c r="F162" s="156"/>
      <c r="G162" s="156"/>
      <c r="H162" s="154"/>
      <c r="I162" s="154"/>
      <c r="J162" s="154"/>
    </row>
    <row r="163" spans="2:30" ht="15.6" customHeight="1" x14ac:dyDescent="0.3">
      <c r="B163" s="152"/>
      <c r="C163" s="153"/>
      <c r="D163" s="154"/>
      <c r="E163" s="155" t="s">
        <v>161</v>
      </c>
      <c r="F163" s="156"/>
      <c r="G163" s="156"/>
      <c r="H163" s="154"/>
      <c r="I163" s="154"/>
      <c r="J163" s="154"/>
    </row>
    <row r="164" spans="2:30" s="188" customFormat="1" ht="29.4" customHeight="1" x14ac:dyDescent="0.3">
      <c r="B164" s="152"/>
      <c r="C164" s="183"/>
      <c r="D164" s="184" t="s">
        <v>195</v>
      </c>
      <c r="E164" s="184" t="s">
        <v>98</v>
      </c>
      <c r="F164" s="185" t="s">
        <v>196</v>
      </c>
      <c r="G164" s="185" t="s">
        <v>197</v>
      </c>
      <c r="H164" s="185" t="s">
        <v>198</v>
      </c>
      <c r="I164" s="186"/>
      <c r="J164" s="155"/>
      <c r="K164" s="155"/>
      <c r="L164" s="155"/>
      <c r="M164" s="187"/>
      <c r="N164" s="187"/>
      <c r="O164" s="187"/>
      <c r="P164" s="187"/>
      <c r="Q164" s="187"/>
      <c r="R164" s="187"/>
      <c r="S164" s="187"/>
      <c r="T164" s="187"/>
      <c r="U164" s="187"/>
      <c r="V164" s="187"/>
      <c r="W164" s="187"/>
      <c r="X164" s="187"/>
      <c r="Y164" s="187"/>
      <c r="Z164" s="187"/>
      <c r="AA164" s="187"/>
      <c r="AB164" s="187"/>
      <c r="AC164" s="187"/>
    </row>
    <row r="165" spans="2:30" ht="15.6" customHeight="1" x14ac:dyDescent="0.3">
      <c r="B165" s="152"/>
      <c r="C165" s="153"/>
      <c r="D165" s="154">
        <f>D168-D169</f>
        <v>21034907.768343002</v>
      </c>
      <c r="E165" s="154"/>
      <c r="F165" s="155"/>
      <c r="G165" s="155"/>
      <c r="H165" s="155"/>
      <c r="I165" s="156"/>
      <c r="J165" s="156"/>
      <c r="K165" s="154"/>
      <c r="L165" s="154"/>
      <c r="M165" s="154"/>
      <c r="AB165" s="59"/>
      <c r="AC165" s="59"/>
      <c r="AD165" s="59"/>
    </row>
    <row r="166" spans="2:30" s="59" customFormat="1" ht="12" customHeight="1" x14ac:dyDescent="0.3">
      <c r="B166" s="160"/>
      <c r="C166" s="58" t="s">
        <v>163</v>
      </c>
      <c r="D166" s="59">
        <f>D3-D4</f>
        <v>300751.02677520318</v>
      </c>
      <c r="L166" s="59" t="s">
        <v>73</v>
      </c>
      <c r="M166" s="59" t="s">
        <v>73</v>
      </c>
    </row>
    <row r="167" spans="2:30" s="59" customFormat="1" ht="12" customHeight="1" x14ac:dyDescent="0.3">
      <c r="C167" s="58" t="s">
        <v>164</v>
      </c>
      <c r="D167" s="59">
        <v>300751.02677520318</v>
      </c>
      <c r="H167" s="189">
        <f>(D168-H168)/H168</f>
        <v>9.1168400324772358E-2</v>
      </c>
      <c r="L167" s="59" t="s">
        <v>165</v>
      </c>
      <c r="M167" s="59" t="s">
        <v>73</v>
      </c>
    </row>
    <row r="168" spans="2:30" s="59" customFormat="1" ht="12" customHeight="1" x14ac:dyDescent="0.3">
      <c r="C168" s="161" t="s">
        <v>166</v>
      </c>
      <c r="D168" s="162">
        <v>155919466.58066154</v>
      </c>
      <c r="E168" s="162">
        <v>155919466.58066154</v>
      </c>
      <c r="F168" s="163">
        <v>151935854.86493099</v>
      </c>
      <c r="G168" s="163">
        <v>150000791.26588899</v>
      </c>
      <c r="H168" s="163">
        <v>142892212.17756498</v>
      </c>
      <c r="L168" s="59">
        <v>136788276.24000001</v>
      </c>
      <c r="P168" s="79">
        <v>1.1584049025181387</v>
      </c>
    </row>
    <row r="169" spans="2:30" s="59" customFormat="1" ht="12" customHeight="1" x14ac:dyDescent="0.3">
      <c r="C169" s="58" t="s">
        <v>167</v>
      </c>
      <c r="D169" s="162">
        <v>134884558.81231853</v>
      </c>
      <c r="E169" s="162">
        <v>134884558.81231853</v>
      </c>
      <c r="F169" s="163">
        <v>127137435.07254556</v>
      </c>
      <c r="G169" s="163"/>
      <c r="H169" s="163"/>
      <c r="K169" s="59" t="s">
        <v>165</v>
      </c>
    </row>
    <row r="170" spans="2:30" s="59" customFormat="1" ht="12" customHeight="1" x14ac:dyDescent="0.3">
      <c r="C170" s="58" t="s">
        <v>168</v>
      </c>
      <c r="D170" s="164">
        <f>D167/D168*1000</f>
        <v>1.9288869656286067</v>
      </c>
      <c r="E170" s="57">
        <v>1.6779800317498392</v>
      </c>
      <c r="F170" s="164">
        <v>1.6263585236842144</v>
      </c>
      <c r="G170" s="164"/>
      <c r="H170" s="164"/>
      <c r="I170" s="79">
        <f>D170/F170-1</f>
        <v>0.18601583693801427</v>
      </c>
      <c r="K170" s="57">
        <v>1.8727392459194976</v>
      </c>
      <c r="L170" s="79">
        <f>D170/K170</f>
        <v>1.0299816003917519</v>
      </c>
      <c r="M170" s="57"/>
      <c r="N170" s="79"/>
    </row>
    <row r="171" spans="2:30" s="59" customFormat="1" ht="12" customHeight="1" x14ac:dyDescent="0.3">
      <c r="C171" s="165" t="s">
        <v>169</v>
      </c>
      <c r="D171" s="166">
        <f>D170+F171</f>
        <v>1.9288869656286067</v>
      </c>
      <c r="E171" s="166"/>
      <c r="F171" s="57">
        <v>0</v>
      </c>
      <c r="G171" s="57"/>
      <c r="H171" s="57"/>
      <c r="I171" s="167" t="s">
        <v>170</v>
      </c>
      <c r="K171" s="57">
        <v>1.9727392459194977</v>
      </c>
      <c r="L171" s="79">
        <f>D171/K171</f>
        <v>0.9777708684097014</v>
      </c>
      <c r="M171" s="57"/>
      <c r="N171" s="167"/>
    </row>
    <row r="172" spans="2:30" s="59" customFormat="1" ht="12" customHeight="1" x14ac:dyDescent="0.3">
      <c r="C172" s="165" t="s">
        <v>171</v>
      </c>
      <c r="D172" s="166">
        <f>D170+F172</f>
        <v>1.9288869656286067</v>
      </c>
      <c r="E172" s="166"/>
      <c r="F172" s="57">
        <v>0</v>
      </c>
      <c r="G172" s="57"/>
      <c r="H172" s="57"/>
      <c r="I172" s="167" t="s">
        <v>172</v>
      </c>
      <c r="K172" s="57">
        <v>2.7227392459194975</v>
      </c>
      <c r="L172" s="79">
        <f>D172/K172</f>
        <v>0.70843617085968935</v>
      </c>
      <c r="M172" s="57"/>
      <c r="N172" s="167"/>
    </row>
    <row r="173" spans="2:30" s="59" customFormat="1" ht="12" customHeight="1" x14ac:dyDescent="0.3">
      <c r="C173" s="168" t="s">
        <v>173</v>
      </c>
      <c r="D173" s="169">
        <f>D3*1000/D168</f>
        <v>12.859246437524043</v>
      </c>
      <c r="E173" s="164">
        <v>6.711920126999356</v>
      </c>
      <c r="F173" s="169">
        <v>10.842390157894755</v>
      </c>
      <c r="G173" s="169"/>
      <c r="H173" s="169"/>
      <c r="I173" s="170">
        <f>D173/F173-1</f>
        <v>0.18601583693801471</v>
      </c>
      <c r="J173" s="171">
        <f>D173/F173</f>
        <v>1.1860158369380147</v>
      </c>
      <c r="K173" s="57">
        <v>6.5656729581833559</v>
      </c>
      <c r="L173" s="79">
        <f>D173/K173</f>
        <v>1.9585572597697654</v>
      </c>
      <c r="M173" s="57"/>
      <c r="N173" s="172"/>
    </row>
    <row r="174" spans="2:30" s="59" customFormat="1" ht="12" customHeight="1" x14ac:dyDescent="0.3">
      <c r="C174" s="58"/>
      <c r="D174" s="57">
        <f>D3*1000/D169</f>
        <v>14.86461358381157</v>
      </c>
      <c r="E174" s="173">
        <f>D173/E173</f>
        <v>1.9158819226403581</v>
      </c>
      <c r="F174" s="57">
        <v>6.9045094651632608</v>
      </c>
      <c r="G174" s="57"/>
      <c r="H174" s="57"/>
      <c r="I174" s="172">
        <f>D174/F174-1</f>
        <v>1.1528848151792763</v>
      </c>
      <c r="K174" s="57">
        <v>7.6468571576843924</v>
      </c>
      <c r="L174" s="79">
        <f>D174/K174</f>
        <v>1.943885347573675</v>
      </c>
      <c r="M174" s="57"/>
      <c r="N174" s="172"/>
    </row>
    <row r="175" spans="2:30" s="59" customFormat="1" ht="12" customHeight="1" x14ac:dyDescent="0.3">
      <c r="C175" s="58" t="s">
        <v>174</v>
      </c>
      <c r="D175" s="174">
        <f>F66</f>
        <v>4.9064188501513453</v>
      </c>
      <c r="E175" s="175">
        <v>2.4102769184486261</v>
      </c>
      <c r="F175" s="176">
        <f>D175/E175</f>
        <v>2.0356245428053801</v>
      </c>
      <c r="G175" s="176"/>
      <c r="H175" s="176"/>
      <c r="I175" s="172"/>
      <c r="K175" s="57"/>
      <c r="L175" s="79"/>
      <c r="M175" s="57"/>
      <c r="N175" s="172"/>
    </row>
    <row r="176" spans="2:30" s="59" customFormat="1" ht="12" customHeight="1" x14ac:dyDescent="0.3">
      <c r="C176" s="58" t="s">
        <v>175</v>
      </c>
      <c r="D176" s="174">
        <f>G66</f>
        <v>4.1418183372867148</v>
      </c>
      <c r="E176" s="175">
        <v>2.034667125588248</v>
      </c>
      <c r="F176" s="176">
        <f>D176/E176</f>
        <v>2.0356245428053805</v>
      </c>
      <c r="G176" s="176"/>
      <c r="H176" s="176"/>
      <c r="I176" s="172"/>
      <c r="K176" s="57"/>
      <c r="L176" s="79"/>
      <c r="M176" s="57"/>
      <c r="N176" s="172"/>
    </row>
    <row r="177" spans="3:12" s="59" customFormat="1" ht="12" customHeight="1" x14ac:dyDescent="0.3">
      <c r="C177" s="58"/>
      <c r="D177" s="57"/>
      <c r="E177" s="60"/>
      <c r="F177" s="57"/>
      <c r="G177" s="172"/>
      <c r="I177" s="57"/>
      <c r="J177" s="79"/>
      <c r="K177" s="57"/>
      <c r="L177" s="172"/>
    </row>
    <row r="178" spans="3:12" s="59" customFormat="1" ht="12" customHeight="1" x14ac:dyDescent="0.3">
      <c r="C178" s="58" t="s">
        <v>176</v>
      </c>
      <c r="G178" s="59">
        <f>F10*D10*F66</f>
        <v>537611032.6676333</v>
      </c>
      <c r="H178" s="59">
        <f>G10*D10*G66</f>
        <v>447028524.05252379</v>
      </c>
      <c r="J178" s="59">
        <f>I66*F10</f>
        <v>537611032.6676333</v>
      </c>
      <c r="K178" s="59">
        <f>J66*G10</f>
        <v>447028524.05252379</v>
      </c>
    </row>
    <row r="179" spans="3:12" s="59" customFormat="1" ht="12" customHeight="1" x14ac:dyDescent="0.3">
      <c r="C179" s="58" t="s">
        <v>177</v>
      </c>
      <c r="G179" s="59">
        <f>F11*D11*F67</f>
        <v>984963.58416788257</v>
      </c>
      <c r="H179" s="59">
        <f>G12*D12*G67</f>
        <v>226764.55396644762</v>
      </c>
      <c r="J179" s="59">
        <f>I67*F11</f>
        <v>984963.58416788268</v>
      </c>
      <c r="K179" s="59">
        <f>J67*G12</f>
        <v>226764.55396644765</v>
      </c>
    </row>
    <row r="180" spans="3:12" s="59" customFormat="1" ht="12" customHeight="1" x14ac:dyDescent="0.3">
      <c r="C180" s="58" t="s">
        <v>178</v>
      </c>
      <c r="G180" s="59">
        <f>F15*$D15*F73+F16*$D16*F74</f>
        <v>5551200.7897628341</v>
      </c>
      <c r="H180" s="59">
        <f>G15*$D15*G73+G16*$D16*G74</f>
        <v>10654463.19265639</v>
      </c>
      <c r="J180" s="59">
        <f>I73*F15+I74*F16</f>
        <v>5551200.7897628359</v>
      </c>
      <c r="K180" s="59">
        <f>J73*G15+J74*G16</f>
        <v>10654463.19265639</v>
      </c>
    </row>
    <row r="181" spans="3:12" s="59" customFormat="1" ht="12" customHeight="1" x14ac:dyDescent="0.3">
      <c r="C181" s="58" t="s">
        <v>179</v>
      </c>
      <c r="G181" s="59">
        <f>(F32*$D32*F118+F33*$D33*F119)</f>
        <v>0</v>
      </c>
      <c r="H181" s="59">
        <f>(G32*$D32*G118+G33*$D33*G119)</f>
        <v>11771312.790942429</v>
      </c>
      <c r="J181" s="59">
        <f>I118*F32+I119*F33</f>
        <v>0</v>
      </c>
      <c r="K181" s="59">
        <f>J118*G32+J119*G33</f>
        <v>11771312.790942429</v>
      </c>
    </row>
    <row r="182" spans="3:12" s="59" customFormat="1" ht="12" customHeight="1" x14ac:dyDescent="0.3">
      <c r="C182" s="58" t="s">
        <v>180</v>
      </c>
      <c r="G182" s="59">
        <f>F18*$D18*F72+F17*$D17*F71</f>
        <v>35795504.871268958</v>
      </c>
      <c r="H182" s="59">
        <f>G18*$D18*G72+G17*$D17*G71</f>
        <v>197919539.41462162</v>
      </c>
      <c r="J182" s="59">
        <f>I71*F17+I72*F18</f>
        <v>35795504.87126895</v>
      </c>
      <c r="K182" s="59">
        <f>J71*G17+J72*G18</f>
        <v>197919539.41462162</v>
      </c>
    </row>
    <row r="183" spans="3:12" s="59" customFormat="1" ht="12" customHeight="1" x14ac:dyDescent="0.3">
      <c r="C183" s="58" t="s">
        <v>181</v>
      </c>
      <c r="G183" s="59">
        <f>(F34*$D34*F116+F35*$D35*F117)</f>
        <v>46036668.030771017</v>
      </c>
      <c r="H183" s="59">
        <f>G34*$D34*G116+G35*$D35*G117</f>
        <v>47518.965191504285</v>
      </c>
      <c r="J183" s="59">
        <f>I116*F34+I117*F35</f>
        <v>46036668.030771017</v>
      </c>
      <c r="K183" s="59">
        <f>J116*G34+J117*G35</f>
        <v>47518.965191504285</v>
      </c>
    </row>
    <row r="184" spans="3:12" s="59" customFormat="1" ht="12" customHeight="1" x14ac:dyDescent="0.3">
      <c r="C184" s="58" t="s">
        <v>182</v>
      </c>
      <c r="G184" s="59">
        <f>$D$19*F19*F82+$D$20*F20*F83+$D$21*F21*F84+$D$22*F22*F85+$D$23*F23*F86+$D$24*F24*F87</f>
        <v>73939342.011482179</v>
      </c>
      <c r="H184" s="59">
        <f>$D$19*G19*G82+$D$20*G20*G83+$D$21*G21*G84+$D$22*G22*G85+$D$23*G23*G86+$D$24*G24*G87</f>
        <v>24946743.416408431</v>
      </c>
      <c r="J184" s="59">
        <f>I82*F19+I83*F20+I84*F21+I85*F22+I86*F23+I87*F24</f>
        <v>73939342.011482194</v>
      </c>
      <c r="K184" s="59">
        <f>J82*G19+J83*G20+J84*G21+J85*G22+J86*G23+J87*G24</f>
        <v>24946743.416408431</v>
      </c>
    </row>
    <row r="185" spans="3:12" s="59" customFormat="1" ht="12" customHeight="1" x14ac:dyDescent="0.3">
      <c r="C185" s="58" t="s">
        <v>183</v>
      </c>
      <c r="G185" s="59">
        <f>$D$36*F36*F127+$D$37*F37*F128+$D$38*F38*F129+$D$39*F39*F130+$D$40*F40*F131+$D$41*F41*F132</f>
        <v>545900.42731496401</v>
      </c>
      <c r="H185" s="59">
        <f>$D$36*G36*G127+$D$37*G37*G128+$D$38*G38*G129+$D$39*G39*G130+$D$40*G40*G131+$D$41*G41*G132</f>
        <v>12280160.024588127</v>
      </c>
      <c r="J185" s="59">
        <f>I127*F36+I128*F37+I129*F38+I130*F39+I131*F40+I132*F41</f>
        <v>545900.42731496412</v>
      </c>
      <c r="K185" s="59">
        <f>J127*G36+J128*G37+J129*G38+J130*G39+J131*G40+J132*G41</f>
        <v>12280160.024588127</v>
      </c>
    </row>
    <row r="186" spans="3:12" s="59" customFormat="1" ht="12" customHeight="1" x14ac:dyDescent="0.3">
      <c r="C186" s="58" t="s">
        <v>184</v>
      </c>
      <c r="G186" s="59">
        <f>$D$25*F25*F76+$D$26*F26*F77+$D$27*F27*F78+$D$28*F28*F79+$D$29*F29*F80+$D$30*F30*F81</f>
        <v>74905207.360275865</v>
      </c>
      <c r="H186" s="59">
        <f>$D$25*G25*G76+$D$26*G26*G77+$D$27*G27*G78+$D$28*G28*G79+$D$29*G29*G80+$D$30*G30*G81</f>
        <v>143320487.20881161</v>
      </c>
      <c r="J186" s="59">
        <f>I76*F25+I77*F26+I78*F27+I79*F28+I80*F29+I81*F30</f>
        <v>74905207.360275865</v>
      </c>
      <c r="K186" s="59">
        <f>J76*G25+J77*G26+J78*G27+J79*G28+J80*G29+J81*G30</f>
        <v>143320487.20881161</v>
      </c>
    </row>
    <row r="187" spans="3:12" s="59" customFormat="1" ht="12" customHeight="1" x14ac:dyDescent="0.3">
      <c r="C187" s="58" t="s">
        <v>185</v>
      </c>
      <c r="G187" s="59">
        <f>$D$42*F42*F121+$D$43*F43*F122+$D$44*F44*F123+$D$45*F45*F124+$D$46*F46*F125+$D$47*F47*F126</f>
        <v>76758089.453731835</v>
      </c>
      <c r="H187" s="59">
        <f>$D$42*G42*G121+$D$43*G43*G122+$D$44*G44*G123+$D$45*G45*G124+$D$46*G46*G125+$D$47*G47*G126</f>
        <v>3932395.5766984862</v>
      </c>
      <c r="J187" s="59">
        <f>I121*F42+I122*F43+I123*F44+I124*F45+I125*F46+I126*F47</f>
        <v>76758089.45373182</v>
      </c>
      <c r="K187" s="59">
        <f>J121*G42+J122*G43+J125*G44+J126*G45+J127*G46+J128*G47</f>
        <v>3932395.5766984862</v>
      </c>
    </row>
    <row r="188" spans="3:12" s="59" customFormat="1" ht="12" customHeight="1" x14ac:dyDescent="0.3">
      <c r="C188" s="58"/>
      <c r="G188" s="59">
        <f>SUM(G178:G187)</f>
        <v>852127909.19640899</v>
      </c>
      <c r="H188" s="59">
        <f>SUM(H178:H187)</f>
        <v>852127909.19640887</v>
      </c>
      <c r="J188" s="59">
        <f>SUM(J178:J187)</f>
        <v>852127909.19640887</v>
      </c>
      <c r="K188" s="59">
        <f>SUM(K178:K187)</f>
        <v>852127909.19640887</v>
      </c>
    </row>
    <row r="189" spans="3:12" s="59" customFormat="1" ht="12" customHeight="1" x14ac:dyDescent="0.3">
      <c r="C189" s="58"/>
      <c r="G189" s="94">
        <f>F4*1000-G188</f>
        <v>0</v>
      </c>
      <c r="H189" s="94">
        <f>G4*1000-H188</f>
        <v>0</v>
      </c>
      <c r="J189" s="94">
        <f>F4*1000-J188</f>
        <v>0</v>
      </c>
      <c r="K189" s="94">
        <f>G4*1000-K188</f>
        <v>0</v>
      </c>
    </row>
    <row r="191" spans="3:12" ht="12" customHeight="1" x14ac:dyDescent="0.3">
      <c r="D191" s="60">
        <f>0.85/D173</f>
        <v>6.6100296322158483E-2</v>
      </c>
    </row>
    <row r="192" spans="3:12" ht="12" customHeight="1" x14ac:dyDescent="0.3">
      <c r="D192" s="79">
        <v>2.8226917830188249E-2</v>
      </c>
    </row>
    <row r="203" spans="3:9" ht="12" customHeight="1" x14ac:dyDescent="0.3">
      <c r="C203" s="72" t="s">
        <v>11</v>
      </c>
      <c r="H203" s="92">
        <v>121107000</v>
      </c>
      <c r="I203" s="92">
        <v>95703000</v>
      </c>
    </row>
    <row r="204" spans="3:9" ht="12" customHeight="1" x14ac:dyDescent="0.3">
      <c r="C204" s="72" t="s">
        <v>12</v>
      </c>
      <c r="H204" s="92">
        <v>209875</v>
      </c>
      <c r="I204" s="92">
        <v>0</v>
      </c>
    </row>
    <row r="205" spans="3:9" ht="12" customHeight="1" x14ac:dyDescent="0.3">
      <c r="C205" s="72" t="s">
        <v>13</v>
      </c>
      <c r="H205" s="92">
        <v>0</v>
      </c>
      <c r="I205" s="92">
        <v>54750</v>
      </c>
    </row>
    <row r="206" spans="3:9" ht="12" customHeight="1" x14ac:dyDescent="0.3">
      <c r="C206" s="72" t="s">
        <v>14</v>
      </c>
      <c r="H206" s="92">
        <v>0</v>
      </c>
      <c r="I206" s="92">
        <v>0</v>
      </c>
    </row>
    <row r="207" spans="3:9" ht="12" customHeight="1" x14ac:dyDescent="0.3">
      <c r="C207" s="72" t="s">
        <v>50</v>
      </c>
      <c r="H207" s="92">
        <v>0</v>
      </c>
      <c r="I207" s="92">
        <v>0</v>
      </c>
    </row>
    <row r="208" spans="3:9" ht="12" customHeight="1" x14ac:dyDescent="0.3">
      <c r="C208" s="72" t="s">
        <v>51</v>
      </c>
      <c r="H208" s="92">
        <v>290745</v>
      </c>
      <c r="I208" s="92">
        <v>4121224.860176059</v>
      </c>
    </row>
    <row r="209" spans="3:9" ht="12" customHeight="1" x14ac:dyDescent="0.3">
      <c r="C209" s="72" t="s">
        <v>53</v>
      </c>
      <c r="H209" s="92">
        <v>576288</v>
      </c>
      <c r="I209" s="92">
        <v>4681233.5627378402</v>
      </c>
    </row>
    <row r="210" spans="3:9" ht="12" customHeight="1" x14ac:dyDescent="0.3">
      <c r="C210" s="72" t="s">
        <v>54</v>
      </c>
      <c r="H210" s="92">
        <v>15823.999999999854</v>
      </c>
      <c r="I210" s="92">
        <v>12603816</v>
      </c>
    </row>
    <row r="211" spans="3:9" ht="12" customHeight="1" x14ac:dyDescent="0.3">
      <c r="C211" s="72" t="s">
        <v>55</v>
      </c>
      <c r="H211" s="92">
        <v>1556100.0000000012</v>
      </c>
      <c r="I211" s="92">
        <v>39843000</v>
      </c>
    </row>
    <row r="212" spans="3:9" ht="12" customHeight="1" x14ac:dyDescent="0.3">
      <c r="C212" s="72" t="s">
        <v>15</v>
      </c>
      <c r="H212" s="92">
        <v>485760.00000000006</v>
      </c>
      <c r="I212" s="92">
        <v>1297200</v>
      </c>
    </row>
    <row r="213" spans="3:9" ht="12" customHeight="1" x14ac:dyDescent="0.3">
      <c r="C213" s="72" t="s">
        <v>17</v>
      </c>
      <c r="H213" s="92">
        <v>1019341.9999999999</v>
      </c>
      <c r="I213" s="92">
        <v>91511.999999999985</v>
      </c>
    </row>
    <row r="214" spans="3:9" ht="12" customHeight="1" x14ac:dyDescent="0.3">
      <c r="C214" s="72" t="s">
        <v>19</v>
      </c>
      <c r="H214" s="92">
        <v>992580</v>
      </c>
      <c r="I214" s="92">
        <v>42599.999999999964</v>
      </c>
    </row>
    <row r="215" spans="3:9" ht="12" customHeight="1" x14ac:dyDescent="0.3">
      <c r="C215" s="72" t="s">
        <v>21</v>
      </c>
      <c r="H215" s="92">
        <v>1728435.9999999998</v>
      </c>
      <c r="I215" s="92">
        <v>335172</v>
      </c>
    </row>
    <row r="216" spans="3:9" ht="12" customHeight="1" x14ac:dyDescent="0.3">
      <c r="C216" s="72" t="s">
        <v>23</v>
      </c>
      <c r="H216" s="92">
        <v>1263684</v>
      </c>
      <c r="I216" s="92">
        <v>127968</v>
      </c>
    </row>
    <row r="217" spans="3:9" ht="12" customHeight="1" x14ac:dyDescent="0.3">
      <c r="C217" s="72" t="s">
        <v>24</v>
      </c>
      <c r="H217" s="92">
        <v>1107450.0000000002</v>
      </c>
      <c r="I217" s="92">
        <v>410880.00000000017</v>
      </c>
    </row>
    <row r="218" spans="3:9" ht="12" customHeight="1" x14ac:dyDescent="0.3">
      <c r="C218" s="72" t="s">
        <v>57</v>
      </c>
      <c r="H218" s="92">
        <v>1802836.0000000002</v>
      </c>
      <c r="I218" s="92">
        <v>1144427</v>
      </c>
    </row>
    <row r="219" spans="3:9" ht="12" customHeight="1" x14ac:dyDescent="0.3">
      <c r="C219" s="72" t="s">
        <v>58</v>
      </c>
      <c r="H219" s="92">
        <v>2280960</v>
      </c>
      <c r="I219" s="92">
        <v>6747839.9999999991</v>
      </c>
    </row>
    <row r="220" spans="3:9" ht="12" customHeight="1" x14ac:dyDescent="0.3">
      <c r="C220" s="72" t="s">
        <v>59</v>
      </c>
      <c r="H220" s="92">
        <v>4168259.9999999986</v>
      </c>
      <c r="I220" s="92">
        <v>19523025</v>
      </c>
    </row>
    <row r="221" spans="3:9" ht="12" customHeight="1" x14ac:dyDescent="0.3">
      <c r="C221" s="72" t="s">
        <v>60</v>
      </c>
      <c r="H221" s="92">
        <v>2605116</v>
      </c>
      <c r="I221" s="92">
        <v>9838470</v>
      </c>
    </row>
    <row r="222" spans="3:9" ht="12" customHeight="1" x14ac:dyDescent="0.3">
      <c r="C222" s="72" t="s">
        <v>61</v>
      </c>
      <c r="H222" s="92">
        <v>1494835.9999999998</v>
      </c>
      <c r="I222" s="92">
        <v>3949456</v>
      </c>
    </row>
    <row r="223" spans="3:9" ht="12" customHeight="1" x14ac:dyDescent="0.3">
      <c r="C223" s="72" t="s">
        <v>62</v>
      </c>
      <c r="H223" s="92">
        <v>1769231.9999999998</v>
      </c>
      <c r="I223" s="92">
        <v>1680261.9999999998</v>
      </c>
    </row>
    <row r="224" spans="3:9" ht="12" customHeight="1" x14ac:dyDescent="0.3">
      <c r="C224" s="80" t="s">
        <v>63</v>
      </c>
      <c r="H224" s="92">
        <v>0</v>
      </c>
      <c r="I224" s="92">
        <v>0</v>
      </c>
    </row>
    <row r="225" spans="3:9" ht="12" customHeight="1" x14ac:dyDescent="0.3">
      <c r="C225" s="84" t="s">
        <v>64</v>
      </c>
      <c r="H225" s="92">
        <v>0</v>
      </c>
      <c r="I225" s="92">
        <v>432887</v>
      </c>
    </row>
    <row r="226" spans="3:9" ht="12" customHeight="1" x14ac:dyDescent="0.3">
      <c r="C226" s="84" t="s">
        <v>65</v>
      </c>
      <c r="H226" s="92">
        <v>0</v>
      </c>
      <c r="I226" s="92">
        <v>2281140</v>
      </c>
    </row>
    <row r="227" spans="3:9" ht="12" customHeight="1" x14ac:dyDescent="0.3">
      <c r="C227" s="84" t="s">
        <v>66</v>
      </c>
      <c r="H227" s="92">
        <v>553840</v>
      </c>
      <c r="I227" s="92">
        <v>7991.2782400000006</v>
      </c>
    </row>
    <row r="228" spans="3:9" ht="12" customHeight="1" x14ac:dyDescent="0.3">
      <c r="C228" s="84" t="s">
        <v>67</v>
      </c>
      <c r="H228" s="92">
        <v>10046250</v>
      </c>
      <c r="I228" s="92">
        <v>85.5</v>
      </c>
    </row>
    <row r="229" spans="3:9" ht="12" customHeight="1" x14ac:dyDescent="0.3">
      <c r="C229" s="84" t="s">
        <v>16</v>
      </c>
      <c r="H229" s="92">
        <v>455400</v>
      </c>
      <c r="I229" s="92">
        <v>149040</v>
      </c>
    </row>
    <row r="230" spans="3:9" ht="12" customHeight="1" x14ac:dyDescent="0.3">
      <c r="C230" s="84" t="s">
        <v>18</v>
      </c>
      <c r="H230" s="92">
        <v>381.29999999999995</v>
      </c>
      <c r="I230" s="92">
        <v>470269.99999999994</v>
      </c>
    </row>
    <row r="231" spans="3:9" ht="12" customHeight="1" x14ac:dyDescent="0.3">
      <c r="C231" s="84" t="s">
        <v>20</v>
      </c>
      <c r="H231" s="92">
        <v>0</v>
      </c>
      <c r="I231" s="92">
        <v>457950</v>
      </c>
    </row>
    <row r="232" spans="3:9" ht="12" customHeight="1" x14ac:dyDescent="0.3">
      <c r="C232" s="84" t="s">
        <v>22</v>
      </c>
      <c r="H232" s="92">
        <v>0</v>
      </c>
      <c r="I232" s="92">
        <v>890506</v>
      </c>
    </row>
    <row r="233" spans="3:9" ht="12" customHeight="1" x14ac:dyDescent="0.3">
      <c r="C233" s="84" t="s">
        <v>68</v>
      </c>
      <c r="H233" s="92">
        <v>0</v>
      </c>
      <c r="I233" s="92">
        <v>754478.00000000012</v>
      </c>
    </row>
    <row r="234" spans="3:9" ht="12" customHeight="1" x14ac:dyDescent="0.3">
      <c r="C234" s="84" t="s">
        <v>25</v>
      </c>
      <c r="H234" s="92">
        <v>0</v>
      </c>
      <c r="I234" s="92">
        <v>914850.00000000012</v>
      </c>
    </row>
    <row r="235" spans="3:9" ht="12" customHeight="1" x14ac:dyDescent="0.3">
      <c r="C235" s="84" t="s">
        <v>69</v>
      </c>
      <c r="H235" s="92">
        <v>554559</v>
      </c>
      <c r="I235" s="92">
        <v>1956949.4000000001</v>
      </c>
    </row>
    <row r="236" spans="3:9" ht="12" customHeight="1" x14ac:dyDescent="0.3">
      <c r="C236" s="84" t="s">
        <v>70</v>
      </c>
      <c r="H236" s="92">
        <v>2419199.9999999995</v>
      </c>
      <c r="I236" s="92">
        <v>0</v>
      </c>
    </row>
    <row r="237" spans="3:9" ht="12" customHeight="1" x14ac:dyDescent="0.3">
      <c r="C237" s="84" t="s">
        <v>71</v>
      </c>
      <c r="H237" s="92">
        <v>7323750.0000000009</v>
      </c>
      <c r="I237" s="92">
        <v>14647.500000000002</v>
      </c>
    </row>
    <row r="238" spans="3:9" ht="12" customHeight="1" x14ac:dyDescent="0.3">
      <c r="C238" s="84" t="s">
        <v>72</v>
      </c>
      <c r="H238" s="92">
        <v>6582075</v>
      </c>
      <c r="I238" s="92">
        <v>0</v>
      </c>
    </row>
    <row r="239" spans="3:9" ht="12" customHeight="1" x14ac:dyDescent="0.3">
      <c r="C239" s="84" t="s">
        <v>74</v>
      </c>
      <c r="H239" s="92">
        <v>2402217.9999999995</v>
      </c>
      <c r="I239" s="92">
        <v>0</v>
      </c>
    </row>
    <row r="240" spans="3:9" ht="12" customHeight="1" x14ac:dyDescent="0.3">
      <c r="C240" s="84" t="s">
        <v>75</v>
      </c>
      <c r="H240" s="92">
        <v>533819.99999999988</v>
      </c>
      <c r="I240" s="92">
        <v>25419.999999999996</v>
      </c>
    </row>
    <row r="241" spans="3:9" ht="12" customHeight="1" thickBot="1" x14ac:dyDescent="0.35">
      <c r="C241" s="85" t="s">
        <v>26</v>
      </c>
      <c r="H241" s="92">
        <v>175345817.30000001</v>
      </c>
      <c r="I241" s="92">
        <v>210552051.10115391</v>
      </c>
    </row>
    <row r="242" spans="3:9" ht="12" customHeight="1" thickTop="1" x14ac:dyDescent="0.3"/>
    <row r="243" spans="3:9" ht="12" customHeight="1" x14ac:dyDescent="0.3">
      <c r="C243" s="72" t="s">
        <v>11</v>
      </c>
      <c r="H243" s="91">
        <f t="shared" ref="H243:I258" si="45">H10/H203</f>
        <v>0.90476190476190466</v>
      </c>
      <c r="I243" s="91">
        <f t="shared" si="45"/>
        <v>1.1277650648360031</v>
      </c>
    </row>
    <row r="244" spans="3:9" ht="12" customHeight="1" x14ac:dyDescent="0.3">
      <c r="C244" s="72" t="s">
        <v>12</v>
      </c>
      <c r="H244" s="91">
        <f t="shared" si="45"/>
        <v>0.95652173913043481</v>
      </c>
      <c r="I244" s="91" t="e">
        <f t="shared" si="45"/>
        <v>#DIV/0!</v>
      </c>
    </row>
    <row r="245" spans="3:9" ht="12" customHeight="1" x14ac:dyDescent="0.3">
      <c r="C245" s="72" t="s">
        <v>13</v>
      </c>
      <c r="H245" s="91" t="e">
        <f t="shared" si="45"/>
        <v>#DIV/0!</v>
      </c>
      <c r="I245" s="91">
        <f t="shared" si="45"/>
        <v>1</v>
      </c>
    </row>
    <row r="246" spans="3:9" ht="12" customHeight="1" x14ac:dyDescent="0.3">
      <c r="C246" s="72" t="s">
        <v>14</v>
      </c>
      <c r="H246" s="91" t="e">
        <f t="shared" si="45"/>
        <v>#DIV/0!</v>
      </c>
      <c r="I246" s="91" t="e">
        <f t="shared" si="45"/>
        <v>#DIV/0!</v>
      </c>
    </row>
    <row r="247" spans="3:9" ht="12" customHeight="1" x14ac:dyDescent="0.3">
      <c r="C247" s="72" t="s">
        <v>50</v>
      </c>
      <c r="H247" s="91" t="e">
        <f t="shared" si="45"/>
        <v>#DIV/0!</v>
      </c>
      <c r="I247" s="91" t="e">
        <f t="shared" si="45"/>
        <v>#DIV/0!</v>
      </c>
    </row>
    <row r="248" spans="3:9" ht="12" customHeight="1" x14ac:dyDescent="0.3">
      <c r="C248" s="72" t="s">
        <v>51</v>
      </c>
      <c r="H248" s="91">
        <f t="shared" si="45"/>
        <v>0.84945226917057914</v>
      </c>
      <c r="I248" s="91">
        <f t="shared" si="45"/>
        <v>0.28236945070507186</v>
      </c>
    </row>
    <row r="249" spans="3:9" ht="12" customHeight="1" x14ac:dyDescent="0.3">
      <c r="C249" s="72" t="s">
        <v>53</v>
      </c>
      <c r="H249" s="91">
        <f t="shared" si="45"/>
        <v>1.5347222222222223</v>
      </c>
      <c r="I249" s="91">
        <f t="shared" si="45"/>
        <v>0.30092580964409577</v>
      </c>
    </row>
    <row r="250" spans="3:9" ht="12" customHeight="1" x14ac:dyDescent="0.3">
      <c r="C250" s="72" t="s">
        <v>54</v>
      </c>
      <c r="H250" s="91">
        <f t="shared" si="45"/>
        <v>127.34883720930351</v>
      </c>
      <c r="I250" s="91">
        <f t="shared" si="45"/>
        <v>0.81455203725601832</v>
      </c>
    </row>
    <row r="251" spans="3:9" ht="12" customHeight="1" x14ac:dyDescent="0.3">
      <c r="C251" s="72" t="s">
        <v>55</v>
      </c>
      <c r="H251" s="91">
        <f t="shared" si="45"/>
        <v>3.3934065934065898</v>
      </c>
      <c r="I251" s="91">
        <f t="shared" si="45"/>
        <v>0.94167607860853852</v>
      </c>
    </row>
    <row r="252" spans="3:9" ht="12" customHeight="1" x14ac:dyDescent="0.3">
      <c r="C252" s="72" t="s">
        <v>15</v>
      </c>
      <c r="H252" s="91">
        <f t="shared" si="45"/>
        <v>3.9595479249011847</v>
      </c>
      <c r="I252" s="91">
        <f t="shared" si="45"/>
        <v>1.7094588344125814</v>
      </c>
    </row>
    <row r="253" spans="3:9" ht="12" customHeight="1" x14ac:dyDescent="0.3">
      <c r="C253" s="72" t="s">
        <v>17</v>
      </c>
      <c r="H253" s="91">
        <f t="shared" si="45"/>
        <v>2.0668298765281921</v>
      </c>
      <c r="I253" s="91">
        <f t="shared" si="45"/>
        <v>7.8279132791327903</v>
      </c>
    </row>
    <row r="254" spans="3:9" ht="12" customHeight="1" x14ac:dyDescent="0.3">
      <c r="C254" s="72" t="s">
        <v>19</v>
      </c>
      <c r="H254" s="91">
        <f t="shared" si="45"/>
        <v>1.4684458683431061</v>
      </c>
      <c r="I254" s="91">
        <f t="shared" si="45"/>
        <v>8.0669014084507165</v>
      </c>
    </row>
    <row r="255" spans="3:9" ht="12" customHeight="1" x14ac:dyDescent="0.3">
      <c r="C255" s="72" t="s">
        <v>21</v>
      </c>
      <c r="H255" s="91">
        <f t="shared" si="45"/>
        <v>1.8423129349307701</v>
      </c>
      <c r="I255" s="91">
        <f t="shared" si="45"/>
        <v>1.6603773584905661</v>
      </c>
    </row>
    <row r="256" spans="3:9" ht="12" customHeight="1" x14ac:dyDescent="0.3">
      <c r="C256" s="72" t="s">
        <v>23</v>
      </c>
      <c r="H256" s="91">
        <f t="shared" si="45"/>
        <v>3.1070061819252279</v>
      </c>
      <c r="I256" s="91">
        <f t="shared" si="45"/>
        <v>12.62063953488372</v>
      </c>
    </row>
    <row r="257" spans="3:9" ht="12" customHeight="1" x14ac:dyDescent="0.3">
      <c r="C257" s="72" t="s">
        <v>24</v>
      </c>
      <c r="H257" s="91">
        <f t="shared" si="45"/>
        <v>2.2317757009345791</v>
      </c>
      <c r="I257" s="91">
        <f t="shared" si="45"/>
        <v>1.3971962616822424</v>
      </c>
    </row>
    <row r="258" spans="3:9" ht="12" customHeight="1" x14ac:dyDescent="0.3">
      <c r="C258" s="72" t="s">
        <v>57</v>
      </c>
      <c r="H258" s="91">
        <f t="shared" si="45"/>
        <v>1.5820207717174495</v>
      </c>
      <c r="I258" s="91">
        <f t="shared" si="45"/>
        <v>0.56973751930005145</v>
      </c>
    </row>
    <row r="259" spans="3:9" ht="12" customHeight="1" x14ac:dyDescent="0.3">
      <c r="C259" s="72" t="s">
        <v>58</v>
      </c>
      <c r="H259" s="91">
        <f t="shared" ref="H259:I274" si="46">H26/H219</f>
        <v>1.4136679292929297</v>
      </c>
      <c r="I259" s="91">
        <f t="shared" si="46"/>
        <v>0.52086000853606496</v>
      </c>
    </row>
    <row r="260" spans="3:9" ht="12" customHeight="1" x14ac:dyDescent="0.3">
      <c r="C260" s="72" t="s">
        <v>59</v>
      </c>
      <c r="H260" s="91">
        <f t="shared" si="46"/>
        <v>0.78661311914323995</v>
      </c>
      <c r="I260" s="91">
        <f t="shared" si="46"/>
        <v>0.73383351196856006</v>
      </c>
    </row>
    <row r="261" spans="3:9" ht="12" customHeight="1" x14ac:dyDescent="0.3">
      <c r="C261" s="72" t="s">
        <v>60</v>
      </c>
      <c r="H261" s="91">
        <f t="shared" si="46"/>
        <v>0.83053691275167818</v>
      </c>
      <c r="I261" s="91">
        <f t="shared" si="46"/>
        <v>0.94236695339824184</v>
      </c>
    </row>
    <row r="262" spans="3:9" ht="12" customHeight="1" x14ac:dyDescent="0.3">
      <c r="C262" s="72" t="s">
        <v>61</v>
      </c>
      <c r="H262" s="91">
        <f t="shared" si="46"/>
        <v>1.0413396519751998</v>
      </c>
      <c r="I262" s="91">
        <f t="shared" si="46"/>
        <v>1.150187519496356</v>
      </c>
    </row>
    <row r="263" spans="3:9" ht="12" customHeight="1" x14ac:dyDescent="0.3">
      <c r="C263" s="72" t="s">
        <v>62</v>
      </c>
      <c r="H263" s="91">
        <f t="shared" si="46"/>
        <v>1.2384181384917301</v>
      </c>
      <c r="I263" s="91">
        <f t="shared" si="46"/>
        <v>1.3663702446404196</v>
      </c>
    </row>
    <row r="264" spans="3:9" ht="12" customHeight="1" x14ac:dyDescent="0.3">
      <c r="C264" s="80" t="s">
        <v>63</v>
      </c>
      <c r="H264" s="91" t="e">
        <f t="shared" si="46"/>
        <v>#DIV/0!</v>
      </c>
      <c r="I264" s="91" t="e">
        <f t="shared" si="46"/>
        <v>#DIV/0!</v>
      </c>
    </row>
    <row r="265" spans="3:9" ht="12" customHeight="1" x14ac:dyDescent="0.3">
      <c r="C265" s="84" t="s">
        <v>64</v>
      </c>
      <c r="H265" s="91" t="e">
        <f t="shared" si="46"/>
        <v>#DIV/0!</v>
      </c>
      <c r="I265" s="91">
        <f t="shared" si="46"/>
        <v>1.2957746478873242</v>
      </c>
    </row>
    <row r="266" spans="3:9" ht="12" customHeight="1" x14ac:dyDescent="0.3">
      <c r="C266" s="84" t="s">
        <v>65</v>
      </c>
      <c r="H266" s="91" t="e">
        <f t="shared" si="46"/>
        <v>#DIV/0!</v>
      </c>
      <c r="I266" s="91">
        <f t="shared" si="46"/>
        <v>1</v>
      </c>
    </row>
    <row r="267" spans="3:9" ht="12" customHeight="1" x14ac:dyDescent="0.3">
      <c r="C267" s="84" t="s">
        <v>66</v>
      </c>
      <c r="H267" s="91">
        <f t="shared" si="46"/>
        <v>1.4013289036544851</v>
      </c>
      <c r="I267" s="91">
        <f t="shared" si="46"/>
        <v>0</v>
      </c>
    </row>
    <row r="268" spans="3:9" ht="12" customHeight="1" x14ac:dyDescent="0.3">
      <c r="C268" s="84" t="s">
        <v>67</v>
      </c>
      <c r="H268" s="91">
        <f t="shared" si="46"/>
        <v>0.85672116461366199</v>
      </c>
      <c r="I268" s="91">
        <f t="shared" si="46"/>
        <v>134.18680526315791</v>
      </c>
    </row>
    <row r="269" spans="3:9" ht="12" customHeight="1" x14ac:dyDescent="0.3">
      <c r="C269" s="84" t="s">
        <v>16</v>
      </c>
      <c r="H269" s="91">
        <f t="shared" si="46"/>
        <v>0.24431818181818185</v>
      </c>
      <c r="I269" s="91">
        <f t="shared" si="46"/>
        <v>4.3493357487922708</v>
      </c>
    </row>
    <row r="270" spans="3:9" ht="12" customHeight="1" x14ac:dyDescent="0.3">
      <c r="C270" s="84" t="s">
        <v>18</v>
      </c>
      <c r="H270" s="91">
        <f t="shared" si="46"/>
        <v>0</v>
      </c>
      <c r="I270" s="91">
        <f t="shared" si="46"/>
        <v>1.3292682926829273</v>
      </c>
    </row>
    <row r="271" spans="3:9" ht="12" customHeight="1" x14ac:dyDescent="0.3">
      <c r="C271" s="84" t="s">
        <v>20</v>
      </c>
      <c r="H271" s="91" t="e">
        <f t="shared" si="46"/>
        <v>#DIV/0!</v>
      </c>
      <c r="I271" s="91">
        <f t="shared" si="46"/>
        <v>1.1126760563380282</v>
      </c>
    </row>
    <row r="272" spans="3:9" ht="12" customHeight="1" x14ac:dyDescent="0.3">
      <c r="C272" s="84" t="s">
        <v>22</v>
      </c>
      <c r="H272" s="91" t="e">
        <f t="shared" si="46"/>
        <v>#DIV/0!</v>
      </c>
      <c r="I272" s="91">
        <f t="shared" si="46"/>
        <v>0.36761122328204415</v>
      </c>
    </row>
    <row r="273" spans="3:9" ht="12" customHeight="1" x14ac:dyDescent="0.3">
      <c r="C273" s="84" t="s">
        <v>68</v>
      </c>
      <c r="H273" s="91" t="e">
        <f t="shared" si="46"/>
        <v>#DIV/0!</v>
      </c>
      <c r="I273" s="91">
        <f t="shared" si="46"/>
        <v>0.67918481387131213</v>
      </c>
    </row>
    <row r="274" spans="3:9" ht="12" customHeight="1" x14ac:dyDescent="0.3">
      <c r="C274" s="84" t="s">
        <v>25</v>
      </c>
      <c r="H274" s="91" t="e">
        <f t="shared" si="46"/>
        <v>#DIV/0!</v>
      </c>
      <c r="I274" s="91">
        <f t="shared" si="46"/>
        <v>0.37409411378914564</v>
      </c>
    </row>
    <row r="275" spans="3:9" ht="12" customHeight="1" x14ac:dyDescent="0.3">
      <c r="C275" s="84" t="s">
        <v>69</v>
      </c>
      <c r="H275" s="91">
        <f t="shared" ref="H275:I281" si="47">H42/H235</f>
        <v>0</v>
      </c>
      <c r="I275" s="91">
        <f t="shared" si="47"/>
        <v>0.4851617522660524</v>
      </c>
    </row>
    <row r="276" spans="3:9" ht="12" customHeight="1" x14ac:dyDescent="0.3">
      <c r="C276" s="84" t="s">
        <v>70</v>
      </c>
      <c r="H276" s="91">
        <f t="shared" si="47"/>
        <v>0.31822916666666673</v>
      </c>
      <c r="I276" s="91" t="e">
        <f t="shared" si="47"/>
        <v>#DIV/0!</v>
      </c>
    </row>
    <row r="277" spans="3:9" ht="12" customHeight="1" x14ac:dyDescent="0.3">
      <c r="C277" s="84" t="s">
        <v>71</v>
      </c>
      <c r="H277" s="91">
        <f t="shared" si="47"/>
        <v>0.75919999999999976</v>
      </c>
      <c r="I277" s="91">
        <f t="shared" si="47"/>
        <v>0</v>
      </c>
    </row>
    <row r="278" spans="3:9" ht="12" customHeight="1" x14ac:dyDescent="0.3">
      <c r="C278" s="84" t="s">
        <v>72</v>
      </c>
      <c r="H278" s="91">
        <f t="shared" si="47"/>
        <v>0.90572235959025083</v>
      </c>
      <c r="I278" s="91" t="e">
        <f t="shared" si="47"/>
        <v>#DIV/0!</v>
      </c>
    </row>
    <row r="279" spans="3:9" ht="12" customHeight="1" x14ac:dyDescent="0.3">
      <c r="C279" s="84" t="s">
        <v>74</v>
      </c>
      <c r="H279" s="91">
        <f t="shared" si="47"/>
        <v>1.3313188062032677</v>
      </c>
      <c r="I279" s="91" t="e">
        <f t="shared" si="47"/>
        <v>#DIV/0!</v>
      </c>
    </row>
    <row r="280" spans="3:9" ht="12" customHeight="1" x14ac:dyDescent="0.3">
      <c r="C280" s="84" t="s">
        <v>75</v>
      </c>
      <c r="H280" s="91">
        <f t="shared" si="47"/>
        <v>0.28983739837398381</v>
      </c>
      <c r="I280" s="91">
        <f t="shared" si="47"/>
        <v>0</v>
      </c>
    </row>
    <row r="281" spans="3:9" ht="12" customHeight="1" thickBot="1" x14ac:dyDescent="0.35">
      <c r="C281" s="85" t="s">
        <v>26</v>
      </c>
      <c r="H281" s="91">
        <f t="shared" si="47"/>
        <v>0.99047782932202277</v>
      </c>
      <c r="I281" s="91">
        <f t="shared" si="47"/>
        <v>0.97713431854914135</v>
      </c>
    </row>
    <row r="282" spans="3:9" ht="12" customHeight="1" thickTop="1" x14ac:dyDescent="0.3">
      <c r="H282" s="91" t="s">
        <v>73</v>
      </c>
      <c r="I282" s="91" t="s">
        <v>73</v>
      </c>
    </row>
    <row r="283" spans="3:9" ht="12" customHeight="1" x14ac:dyDescent="0.3">
      <c r="H283" s="91" t="s">
        <v>73</v>
      </c>
      <c r="I283" s="91" t="s">
        <v>73</v>
      </c>
    </row>
    <row r="284" spans="3:9" ht="12" customHeight="1" x14ac:dyDescent="0.3">
      <c r="H284" s="91" t="s">
        <v>73</v>
      </c>
      <c r="I284" s="91" t="s">
        <v>73</v>
      </c>
    </row>
    <row r="285" spans="3:9" ht="12" customHeight="1" x14ac:dyDescent="0.3">
      <c r="H285" s="91" t="s">
        <v>73</v>
      </c>
      <c r="I285" s="91" t="s">
        <v>73</v>
      </c>
    </row>
    <row r="286" spans="3:9" ht="12" customHeight="1" x14ac:dyDescent="0.3">
      <c r="H286" s="91" t="s">
        <v>73</v>
      </c>
      <c r="I286" s="91" t="s">
        <v>73</v>
      </c>
    </row>
    <row r="287" spans="3:9" ht="12" customHeight="1" x14ac:dyDescent="0.3">
      <c r="H287" s="91" t="s">
        <v>73</v>
      </c>
      <c r="I287" s="91" t="s">
        <v>73</v>
      </c>
    </row>
    <row r="288" spans="3:9" ht="12" customHeight="1" x14ac:dyDescent="0.3">
      <c r="H288" s="91" t="s">
        <v>73</v>
      </c>
      <c r="I288" s="91" t="s">
        <v>73</v>
      </c>
    </row>
    <row r="289" spans="8:9" ht="12" customHeight="1" x14ac:dyDescent="0.3">
      <c r="H289" s="91" t="s">
        <v>73</v>
      </c>
      <c r="I289" s="91" t="s">
        <v>73</v>
      </c>
    </row>
    <row r="290" spans="8:9" ht="12" customHeight="1" x14ac:dyDescent="0.3">
      <c r="H290" s="91" t="s">
        <v>73</v>
      </c>
      <c r="I290" s="91" t="s">
        <v>73</v>
      </c>
    </row>
    <row r="291" spans="8:9" ht="12" customHeight="1" x14ac:dyDescent="0.3">
      <c r="H291" s="91" t="s">
        <v>73</v>
      </c>
      <c r="I291" s="91" t="s">
        <v>73</v>
      </c>
    </row>
    <row r="292" spans="8:9" ht="12" customHeight="1" x14ac:dyDescent="0.3">
      <c r="H292" s="91" t="s">
        <v>73</v>
      </c>
      <c r="I292" s="91" t="s">
        <v>73</v>
      </c>
    </row>
    <row r="293" spans="8:9" ht="12" customHeight="1" x14ac:dyDescent="0.3">
      <c r="H293" s="91" t="s">
        <v>73</v>
      </c>
      <c r="I293" s="91" t="s">
        <v>73</v>
      </c>
    </row>
    <row r="294" spans="8:9" ht="12" customHeight="1" x14ac:dyDescent="0.3">
      <c r="H294" s="91" t="s">
        <v>73</v>
      </c>
      <c r="I294" s="91" t="s">
        <v>73</v>
      </c>
    </row>
    <row r="295" spans="8:9" ht="12" customHeight="1" x14ac:dyDescent="0.3">
      <c r="H295" s="91" t="s">
        <v>73</v>
      </c>
      <c r="I295" s="91" t="s">
        <v>73</v>
      </c>
    </row>
    <row r="296" spans="8:9" ht="12" customHeight="1" x14ac:dyDescent="0.3">
      <c r="H296" s="91" t="s">
        <v>73</v>
      </c>
      <c r="I296" s="91" t="s">
        <v>73</v>
      </c>
    </row>
    <row r="297" spans="8:9" ht="12" customHeight="1" x14ac:dyDescent="0.3">
      <c r="H297" s="91" t="s">
        <v>73</v>
      </c>
      <c r="I297" s="91" t="s">
        <v>73</v>
      </c>
    </row>
    <row r="298" spans="8:9" ht="12" customHeight="1" x14ac:dyDescent="0.3">
      <c r="H298" s="91" t="s">
        <v>73</v>
      </c>
      <c r="I298" s="91" t="s">
        <v>73</v>
      </c>
    </row>
  </sheetData>
  <mergeCells count="24">
    <mergeCell ref="O65:P65"/>
    <mergeCell ref="R65:S65"/>
    <mergeCell ref="T65:U65"/>
    <mergeCell ref="C8:C9"/>
    <mergeCell ref="D8:D9"/>
    <mergeCell ref="E8:E9"/>
    <mergeCell ref="F9:G9"/>
    <mergeCell ref="H9:I9"/>
    <mergeCell ref="J9:K9"/>
    <mergeCell ref="L9:M9"/>
    <mergeCell ref="N9:O9"/>
    <mergeCell ref="Q9:R9"/>
    <mergeCell ref="B63:J63"/>
    <mergeCell ref="T63:U63"/>
    <mergeCell ref="B120:J120"/>
    <mergeCell ref="B133:J133"/>
    <mergeCell ref="B146:J146"/>
    <mergeCell ref="F159:G159"/>
    <mergeCell ref="B70:J70"/>
    <mergeCell ref="B75:J75"/>
    <mergeCell ref="B88:J88"/>
    <mergeCell ref="B101:J101"/>
    <mergeCell ref="B114:J114"/>
    <mergeCell ref="B115:J115"/>
  </mergeCells>
  <pageMargins left="0.25" right="0.25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514A-2E2E-40E4-A3AD-EA73C932947A}">
  <sheetPr>
    <tabColor rgb="FF008000"/>
    <pageSetUpPr fitToPage="1"/>
  </sheetPr>
  <dimension ref="B2:AB298"/>
  <sheetViews>
    <sheetView zoomScaleNormal="100" workbookViewId="0">
      <selection activeCell="H10" sqref="H10"/>
    </sheetView>
  </sheetViews>
  <sheetFormatPr defaultColWidth="9" defaultRowHeight="12" customHeight="1" x14ac:dyDescent="0.3"/>
  <cols>
    <col min="1" max="1" width="9" style="58"/>
    <col min="2" max="2" width="4.33203125" style="58" customWidth="1"/>
    <col min="3" max="3" width="42.44140625" style="58" bestFit="1" customWidth="1"/>
    <col min="4" max="4" width="16.6640625" style="59" customWidth="1"/>
    <col min="5" max="5" width="11.109375" style="59" customWidth="1"/>
    <col min="6" max="6" width="12.109375" style="59" customWidth="1"/>
    <col min="7" max="7" width="10.5546875" style="59" customWidth="1"/>
    <col min="8" max="8" width="14.109375" style="59" bestFit="1" customWidth="1"/>
    <col min="9" max="9" width="12.109375" style="59" customWidth="1"/>
    <col min="10" max="10" width="10.44140625" style="59" customWidth="1"/>
    <col min="11" max="12" width="11.109375" style="59" customWidth="1"/>
    <col min="13" max="13" width="13.44140625" style="59" customWidth="1"/>
    <col min="14" max="14" width="14.88671875" style="59" bestFit="1" customWidth="1"/>
    <col min="15" max="21" width="11.109375" style="59" customWidth="1"/>
    <col min="22" max="22" width="12.109375" style="59" bestFit="1" customWidth="1"/>
    <col min="23" max="27" width="11.109375" style="59" customWidth="1"/>
    <col min="28" max="258" width="9" style="58"/>
    <col min="259" max="259" width="35.33203125" style="58" customWidth="1"/>
    <col min="260" max="283" width="11.109375" style="58" customWidth="1"/>
    <col min="284" max="514" width="9" style="58"/>
    <col min="515" max="515" width="35.33203125" style="58" customWidth="1"/>
    <col min="516" max="539" width="11.109375" style="58" customWidth="1"/>
    <col min="540" max="770" width="9" style="58"/>
    <col min="771" max="771" width="35.33203125" style="58" customWidth="1"/>
    <col min="772" max="795" width="11.109375" style="58" customWidth="1"/>
    <col min="796" max="1026" width="9" style="58"/>
    <col min="1027" max="1027" width="35.33203125" style="58" customWidth="1"/>
    <col min="1028" max="1051" width="11.109375" style="58" customWidth="1"/>
    <col min="1052" max="1282" width="9" style="58"/>
    <col min="1283" max="1283" width="35.33203125" style="58" customWidth="1"/>
    <col min="1284" max="1307" width="11.109375" style="58" customWidth="1"/>
    <col min="1308" max="1538" width="9" style="58"/>
    <col min="1539" max="1539" width="35.33203125" style="58" customWidth="1"/>
    <col min="1540" max="1563" width="11.109375" style="58" customWidth="1"/>
    <col min="1564" max="1794" width="9" style="58"/>
    <col min="1795" max="1795" width="35.33203125" style="58" customWidth="1"/>
    <col min="1796" max="1819" width="11.109375" style="58" customWidth="1"/>
    <col min="1820" max="2050" width="9" style="58"/>
    <col min="2051" max="2051" width="35.33203125" style="58" customWidth="1"/>
    <col min="2052" max="2075" width="11.109375" style="58" customWidth="1"/>
    <col min="2076" max="2306" width="9" style="58"/>
    <col min="2307" max="2307" width="35.33203125" style="58" customWidth="1"/>
    <col min="2308" max="2331" width="11.109375" style="58" customWidth="1"/>
    <col min="2332" max="2562" width="9" style="58"/>
    <col min="2563" max="2563" width="35.33203125" style="58" customWidth="1"/>
    <col min="2564" max="2587" width="11.109375" style="58" customWidth="1"/>
    <col min="2588" max="2818" width="9" style="58"/>
    <col min="2819" max="2819" width="35.33203125" style="58" customWidth="1"/>
    <col min="2820" max="2843" width="11.109375" style="58" customWidth="1"/>
    <col min="2844" max="3074" width="9" style="58"/>
    <col min="3075" max="3075" width="35.33203125" style="58" customWidth="1"/>
    <col min="3076" max="3099" width="11.109375" style="58" customWidth="1"/>
    <col min="3100" max="3330" width="9" style="58"/>
    <col min="3331" max="3331" width="35.33203125" style="58" customWidth="1"/>
    <col min="3332" max="3355" width="11.109375" style="58" customWidth="1"/>
    <col min="3356" max="3586" width="9" style="58"/>
    <col min="3587" max="3587" width="35.33203125" style="58" customWidth="1"/>
    <col min="3588" max="3611" width="11.109375" style="58" customWidth="1"/>
    <col min="3612" max="3842" width="9" style="58"/>
    <col min="3843" max="3843" width="35.33203125" style="58" customWidth="1"/>
    <col min="3844" max="3867" width="11.109375" style="58" customWidth="1"/>
    <col min="3868" max="4098" width="9" style="58"/>
    <col min="4099" max="4099" width="35.33203125" style="58" customWidth="1"/>
    <col min="4100" max="4123" width="11.109375" style="58" customWidth="1"/>
    <col min="4124" max="4354" width="9" style="58"/>
    <col min="4355" max="4355" width="35.33203125" style="58" customWidth="1"/>
    <col min="4356" max="4379" width="11.109375" style="58" customWidth="1"/>
    <col min="4380" max="4610" width="9" style="58"/>
    <col min="4611" max="4611" width="35.33203125" style="58" customWidth="1"/>
    <col min="4612" max="4635" width="11.109375" style="58" customWidth="1"/>
    <col min="4636" max="4866" width="9" style="58"/>
    <col min="4867" max="4867" width="35.33203125" style="58" customWidth="1"/>
    <col min="4868" max="4891" width="11.109375" style="58" customWidth="1"/>
    <col min="4892" max="5122" width="9" style="58"/>
    <col min="5123" max="5123" width="35.33203125" style="58" customWidth="1"/>
    <col min="5124" max="5147" width="11.109375" style="58" customWidth="1"/>
    <col min="5148" max="5378" width="9" style="58"/>
    <col min="5379" max="5379" width="35.33203125" style="58" customWidth="1"/>
    <col min="5380" max="5403" width="11.109375" style="58" customWidth="1"/>
    <col min="5404" max="5634" width="9" style="58"/>
    <col min="5635" max="5635" width="35.33203125" style="58" customWidth="1"/>
    <col min="5636" max="5659" width="11.109375" style="58" customWidth="1"/>
    <col min="5660" max="5890" width="9" style="58"/>
    <col min="5891" max="5891" width="35.33203125" style="58" customWidth="1"/>
    <col min="5892" max="5915" width="11.109375" style="58" customWidth="1"/>
    <col min="5916" max="6146" width="9" style="58"/>
    <col min="6147" max="6147" width="35.33203125" style="58" customWidth="1"/>
    <col min="6148" max="6171" width="11.109375" style="58" customWidth="1"/>
    <col min="6172" max="6402" width="9" style="58"/>
    <col min="6403" max="6403" width="35.33203125" style="58" customWidth="1"/>
    <col min="6404" max="6427" width="11.109375" style="58" customWidth="1"/>
    <col min="6428" max="6658" width="9" style="58"/>
    <col min="6659" max="6659" width="35.33203125" style="58" customWidth="1"/>
    <col min="6660" max="6683" width="11.109375" style="58" customWidth="1"/>
    <col min="6684" max="6914" width="9" style="58"/>
    <col min="6915" max="6915" width="35.33203125" style="58" customWidth="1"/>
    <col min="6916" max="6939" width="11.109375" style="58" customWidth="1"/>
    <col min="6940" max="7170" width="9" style="58"/>
    <col min="7171" max="7171" width="35.33203125" style="58" customWidth="1"/>
    <col min="7172" max="7195" width="11.109375" style="58" customWidth="1"/>
    <col min="7196" max="7426" width="9" style="58"/>
    <col min="7427" max="7427" width="35.33203125" style="58" customWidth="1"/>
    <col min="7428" max="7451" width="11.109375" style="58" customWidth="1"/>
    <col min="7452" max="7682" width="9" style="58"/>
    <col min="7683" max="7683" width="35.33203125" style="58" customWidth="1"/>
    <col min="7684" max="7707" width="11.109375" style="58" customWidth="1"/>
    <col min="7708" max="7938" width="9" style="58"/>
    <col min="7939" max="7939" width="35.33203125" style="58" customWidth="1"/>
    <col min="7940" max="7963" width="11.109375" style="58" customWidth="1"/>
    <col min="7964" max="8194" width="9" style="58"/>
    <col min="8195" max="8195" width="35.33203125" style="58" customWidth="1"/>
    <col min="8196" max="8219" width="11.109375" style="58" customWidth="1"/>
    <col min="8220" max="8450" width="9" style="58"/>
    <col min="8451" max="8451" width="35.33203125" style="58" customWidth="1"/>
    <col min="8452" max="8475" width="11.109375" style="58" customWidth="1"/>
    <col min="8476" max="8706" width="9" style="58"/>
    <col min="8707" max="8707" width="35.33203125" style="58" customWidth="1"/>
    <col min="8708" max="8731" width="11.109375" style="58" customWidth="1"/>
    <col min="8732" max="8962" width="9" style="58"/>
    <col min="8963" max="8963" width="35.33203125" style="58" customWidth="1"/>
    <col min="8964" max="8987" width="11.109375" style="58" customWidth="1"/>
    <col min="8988" max="9218" width="9" style="58"/>
    <col min="9219" max="9219" width="35.33203125" style="58" customWidth="1"/>
    <col min="9220" max="9243" width="11.109375" style="58" customWidth="1"/>
    <col min="9244" max="9474" width="9" style="58"/>
    <col min="9475" max="9475" width="35.33203125" style="58" customWidth="1"/>
    <col min="9476" max="9499" width="11.109375" style="58" customWidth="1"/>
    <col min="9500" max="9730" width="9" style="58"/>
    <col min="9731" max="9731" width="35.33203125" style="58" customWidth="1"/>
    <col min="9732" max="9755" width="11.109375" style="58" customWidth="1"/>
    <col min="9756" max="9986" width="9" style="58"/>
    <col min="9987" max="9987" width="35.33203125" style="58" customWidth="1"/>
    <col min="9988" max="10011" width="11.109375" style="58" customWidth="1"/>
    <col min="10012" max="10242" width="9" style="58"/>
    <col min="10243" max="10243" width="35.33203125" style="58" customWidth="1"/>
    <col min="10244" max="10267" width="11.109375" style="58" customWidth="1"/>
    <col min="10268" max="10498" width="9" style="58"/>
    <col min="10499" max="10499" width="35.33203125" style="58" customWidth="1"/>
    <col min="10500" max="10523" width="11.109375" style="58" customWidth="1"/>
    <col min="10524" max="10754" width="9" style="58"/>
    <col min="10755" max="10755" width="35.33203125" style="58" customWidth="1"/>
    <col min="10756" max="10779" width="11.109375" style="58" customWidth="1"/>
    <col min="10780" max="11010" width="9" style="58"/>
    <col min="11011" max="11011" width="35.33203125" style="58" customWidth="1"/>
    <col min="11012" max="11035" width="11.109375" style="58" customWidth="1"/>
    <col min="11036" max="11266" width="9" style="58"/>
    <col min="11267" max="11267" width="35.33203125" style="58" customWidth="1"/>
    <col min="11268" max="11291" width="11.109375" style="58" customWidth="1"/>
    <col min="11292" max="11522" width="9" style="58"/>
    <col min="11523" max="11523" width="35.33203125" style="58" customWidth="1"/>
    <col min="11524" max="11547" width="11.109375" style="58" customWidth="1"/>
    <col min="11548" max="11778" width="9" style="58"/>
    <col min="11779" max="11779" width="35.33203125" style="58" customWidth="1"/>
    <col min="11780" max="11803" width="11.109375" style="58" customWidth="1"/>
    <col min="11804" max="12034" width="9" style="58"/>
    <col min="12035" max="12035" width="35.33203125" style="58" customWidth="1"/>
    <col min="12036" max="12059" width="11.109375" style="58" customWidth="1"/>
    <col min="12060" max="12290" width="9" style="58"/>
    <col min="12291" max="12291" width="35.33203125" style="58" customWidth="1"/>
    <col min="12292" max="12315" width="11.109375" style="58" customWidth="1"/>
    <col min="12316" max="12546" width="9" style="58"/>
    <col min="12547" max="12547" width="35.33203125" style="58" customWidth="1"/>
    <col min="12548" max="12571" width="11.109375" style="58" customWidth="1"/>
    <col min="12572" max="12802" width="9" style="58"/>
    <col min="12803" max="12803" width="35.33203125" style="58" customWidth="1"/>
    <col min="12804" max="12827" width="11.109375" style="58" customWidth="1"/>
    <col min="12828" max="13058" width="9" style="58"/>
    <col min="13059" max="13059" width="35.33203125" style="58" customWidth="1"/>
    <col min="13060" max="13083" width="11.109375" style="58" customWidth="1"/>
    <col min="13084" max="13314" width="9" style="58"/>
    <col min="13315" max="13315" width="35.33203125" style="58" customWidth="1"/>
    <col min="13316" max="13339" width="11.109375" style="58" customWidth="1"/>
    <col min="13340" max="13570" width="9" style="58"/>
    <col min="13571" max="13571" width="35.33203125" style="58" customWidth="1"/>
    <col min="13572" max="13595" width="11.109375" style="58" customWidth="1"/>
    <col min="13596" max="13826" width="9" style="58"/>
    <col min="13827" max="13827" width="35.33203125" style="58" customWidth="1"/>
    <col min="13828" max="13851" width="11.109375" style="58" customWidth="1"/>
    <col min="13852" max="14082" width="9" style="58"/>
    <col min="14083" max="14083" width="35.33203125" style="58" customWidth="1"/>
    <col min="14084" max="14107" width="11.109375" style="58" customWidth="1"/>
    <col min="14108" max="14338" width="9" style="58"/>
    <col min="14339" max="14339" width="35.33203125" style="58" customWidth="1"/>
    <col min="14340" max="14363" width="11.109375" style="58" customWidth="1"/>
    <col min="14364" max="14594" width="9" style="58"/>
    <col min="14595" max="14595" width="35.33203125" style="58" customWidth="1"/>
    <col min="14596" max="14619" width="11.109375" style="58" customWidth="1"/>
    <col min="14620" max="14850" width="9" style="58"/>
    <col min="14851" max="14851" width="35.33203125" style="58" customWidth="1"/>
    <col min="14852" max="14875" width="11.109375" style="58" customWidth="1"/>
    <col min="14876" max="15106" width="9" style="58"/>
    <col min="15107" max="15107" width="35.33203125" style="58" customWidth="1"/>
    <col min="15108" max="15131" width="11.109375" style="58" customWidth="1"/>
    <col min="15132" max="15362" width="9" style="58"/>
    <col min="15363" max="15363" width="35.33203125" style="58" customWidth="1"/>
    <col min="15364" max="15387" width="11.109375" style="58" customWidth="1"/>
    <col min="15388" max="15618" width="9" style="58"/>
    <col min="15619" max="15619" width="35.33203125" style="58" customWidth="1"/>
    <col min="15620" max="15643" width="11.109375" style="58" customWidth="1"/>
    <col min="15644" max="15874" width="9" style="58"/>
    <col min="15875" max="15875" width="35.33203125" style="58" customWidth="1"/>
    <col min="15876" max="15899" width="11.109375" style="58" customWidth="1"/>
    <col min="15900" max="16130" width="9" style="58"/>
    <col min="16131" max="16131" width="35.33203125" style="58" customWidth="1"/>
    <col min="16132" max="16155" width="11.109375" style="58" customWidth="1"/>
    <col min="16156" max="16384" width="9" style="58"/>
  </cols>
  <sheetData>
    <row r="2" spans="3:25" ht="12" customHeight="1" x14ac:dyDescent="0.3">
      <c r="E2" s="60">
        <v>0.49532238740910883</v>
      </c>
    </row>
    <row r="3" spans="3:25" ht="12" customHeight="1" x14ac:dyDescent="0.3">
      <c r="C3" s="58" t="s">
        <v>38</v>
      </c>
      <c r="D3" s="61">
        <v>1647347.8174188538</v>
      </c>
      <c r="H3" s="57">
        <f>D3-D4</f>
        <v>247102.1726128282</v>
      </c>
    </row>
    <row r="4" spans="3:25" ht="12" customHeight="1" x14ac:dyDescent="0.3">
      <c r="C4" s="58" t="s">
        <v>39</v>
      </c>
      <c r="D4" s="62">
        <f>D3*E4</f>
        <v>1400245.6448060255</v>
      </c>
      <c r="E4" s="63">
        <v>0.85</v>
      </c>
      <c r="F4" s="64">
        <f>D4*D5</f>
        <v>700122.82240301277</v>
      </c>
      <c r="G4" s="64">
        <f>D4*D5</f>
        <v>700122.82240301277</v>
      </c>
    </row>
    <row r="5" spans="3:25" ht="12" customHeight="1" x14ac:dyDescent="0.3">
      <c r="C5" s="58" t="s">
        <v>3</v>
      </c>
      <c r="D5" s="65">
        <v>0.5</v>
      </c>
    </row>
    <row r="6" spans="3:25" ht="12" customHeight="1" x14ac:dyDescent="0.3">
      <c r="D6" s="65"/>
    </row>
    <row r="7" spans="3:25" ht="19.8" thickBot="1" x14ac:dyDescent="0.5">
      <c r="C7" s="66" t="s">
        <v>40</v>
      </c>
      <c r="D7" s="67"/>
      <c r="E7" s="68"/>
      <c r="F7" s="68"/>
      <c r="G7" s="68"/>
      <c r="H7" s="68"/>
      <c r="I7" s="69"/>
      <c r="J7" s="69"/>
      <c r="K7" s="69"/>
      <c r="L7" s="69"/>
      <c r="M7" s="69" t="s">
        <v>41</v>
      </c>
    </row>
    <row r="8" spans="3:25" ht="27" thickTop="1" x14ac:dyDescent="0.3">
      <c r="C8" s="224" t="s">
        <v>42</v>
      </c>
      <c r="D8" s="226" t="s">
        <v>43</v>
      </c>
      <c r="E8" s="226" t="s">
        <v>44</v>
      </c>
      <c r="F8" s="70" t="s">
        <v>5</v>
      </c>
      <c r="G8" s="70" t="s">
        <v>6</v>
      </c>
      <c r="H8" s="70" t="s">
        <v>5</v>
      </c>
      <c r="I8" s="70" t="s">
        <v>6</v>
      </c>
      <c r="J8" s="70" t="s">
        <v>5</v>
      </c>
      <c r="K8" s="70" t="s">
        <v>6</v>
      </c>
      <c r="L8" s="70" t="s">
        <v>5</v>
      </c>
      <c r="M8" s="71" t="s">
        <v>6</v>
      </c>
    </row>
    <row r="9" spans="3:25" ht="12" customHeight="1" x14ac:dyDescent="0.3">
      <c r="C9" s="225"/>
      <c r="D9" s="227"/>
      <c r="E9" s="227"/>
      <c r="F9" s="218" t="s">
        <v>10</v>
      </c>
      <c r="G9" s="220"/>
      <c r="H9" s="218" t="s">
        <v>45</v>
      </c>
      <c r="I9" s="220"/>
      <c r="J9" s="218" t="s">
        <v>46</v>
      </c>
      <c r="K9" s="220"/>
      <c r="L9" s="218" t="s">
        <v>47</v>
      </c>
      <c r="M9" s="219"/>
      <c r="N9" s="218" t="s">
        <v>48</v>
      </c>
      <c r="O9" s="220"/>
      <c r="Q9" s="218" t="s">
        <v>48</v>
      </c>
      <c r="R9" s="220"/>
    </row>
    <row r="10" spans="3:25" ht="12" customHeight="1" x14ac:dyDescent="0.3">
      <c r="C10" s="72" t="s">
        <v>11</v>
      </c>
      <c r="D10" s="73">
        <f>D15+D16+D17+D18</f>
        <v>8760</v>
      </c>
      <c r="E10" s="64">
        <v>1</v>
      </c>
      <c r="F10" s="74">
        <v>13825</v>
      </c>
      <c r="G10" s="74">
        <v>10925</v>
      </c>
      <c r="H10" s="74">
        <f>D10*F10</f>
        <v>121107000</v>
      </c>
      <c r="I10" s="74">
        <f>D10*G10</f>
        <v>95703000</v>
      </c>
      <c r="J10" s="64">
        <f>F4/H48*1000</f>
        <v>3.9928116517610981</v>
      </c>
      <c r="K10" s="64">
        <f>G4/I48*1000</f>
        <v>3.3251769277073349</v>
      </c>
      <c r="L10" s="74">
        <f>H10*J10</f>
        <v>483557440.7098313</v>
      </c>
      <c r="M10" s="75">
        <f>I10*K10</f>
        <v>318229407.51237506</v>
      </c>
      <c r="N10" s="59">
        <f>H10</f>
        <v>121107000</v>
      </c>
      <c r="O10" s="59">
        <f>I10</f>
        <v>95703000</v>
      </c>
      <c r="P10" s="59" t="s">
        <v>49</v>
      </c>
      <c r="Q10" s="59">
        <f>SUM(N10:O10)+SUM(N11:O12)</f>
        <v>217074625</v>
      </c>
      <c r="R10" s="60">
        <f>Q10/$Q$48</f>
        <v>0.74109250516607583</v>
      </c>
      <c r="T10" s="76">
        <v>1.3087553073787703</v>
      </c>
      <c r="V10" s="74">
        <f>H10*X10</f>
        <v>483216930</v>
      </c>
      <c r="W10" s="75">
        <f>I10*Y10</f>
        <v>318690990</v>
      </c>
      <c r="X10" s="57">
        <f>ROUND(J10,2)</f>
        <v>3.99</v>
      </c>
      <c r="Y10" s="57">
        <f>ROUND(K10,2)</f>
        <v>3.33</v>
      </c>
    </row>
    <row r="11" spans="3:25" ht="12" customHeight="1" x14ac:dyDescent="0.3">
      <c r="C11" s="72" t="s">
        <v>12</v>
      </c>
      <c r="D11" s="77">
        <f>D10</f>
        <v>8760</v>
      </c>
      <c r="E11" s="64">
        <v>0.5</v>
      </c>
      <c r="F11" s="74">
        <v>47.916666666666664</v>
      </c>
      <c r="G11" s="74"/>
      <c r="H11" s="74">
        <f>D11*F11*E11</f>
        <v>209875</v>
      </c>
      <c r="I11" s="74"/>
      <c r="J11" s="64">
        <f>J10*E11</f>
        <v>1.996405825880549</v>
      </c>
      <c r="K11" s="64"/>
      <c r="L11" s="74">
        <f>F11*$D11*J11</f>
        <v>837991.34541336051</v>
      </c>
      <c r="M11" s="75">
        <f>I11*K11</f>
        <v>0</v>
      </c>
      <c r="N11" s="59">
        <f>H11</f>
        <v>209875</v>
      </c>
      <c r="P11" s="59" t="s">
        <v>49</v>
      </c>
      <c r="T11" s="76">
        <f>(T10-1)*R10</f>
        <v>0.22881624422865468</v>
      </c>
      <c r="V11" s="74">
        <f>H11*X11</f>
        <v>419750</v>
      </c>
      <c r="W11" s="75">
        <f>H11*Y11</f>
        <v>0</v>
      </c>
      <c r="X11" s="57">
        <f t="shared" ref="X11:Y47" si="0">ROUND(J11,2)</f>
        <v>2</v>
      </c>
      <c r="Y11" s="57">
        <f t="shared" si="0"/>
        <v>0</v>
      </c>
    </row>
    <row r="12" spans="3:25" ht="12" customHeight="1" x14ac:dyDescent="0.3">
      <c r="C12" s="72" t="s">
        <v>13</v>
      </c>
      <c r="D12" s="77">
        <f>D11</f>
        <v>8760</v>
      </c>
      <c r="E12" s="64">
        <v>0.5</v>
      </c>
      <c r="F12" s="74"/>
      <c r="G12" s="74">
        <v>12.5</v>
      </c>
      <c r="H12" s="74"/>
      <c r="I12" s="74">
        <f>D12*G12*E12</f>
        <v>54750</v>
      </c>
      <c r="J12" s="64"/>
      <c r="K12" s="64">
        <f>K10*E12</f>
        <v>1.6625884638536674</v>
      </c>
      <c r="L12" s="74"/>
      <c r="M12" s="75">
        <f t="shared" ref="L12:M30" si="1">G12*$D12*K12</f>
        <v>182053.43679197659</v>
      </c>
      <c r="O12" s="59">
        <f>I12</f>
        <v>54750</v>
      </c>
      <c r="P12" s="59" t="s">
        <v>49</v>
      </c>
      <c r="V12" s="74">
        <f>H12*X12</f>
        <v>0</v>
      </c>
      <c r="W12" s="75">
        <f>H12*Y12</f>
        <v>0</v>
      </c>
      <c r="X12" s="57">
        <f t="shared" si="0"/>
        <v>0</v>
      </c>
      <c r="Y12" s="57">
        <f t="shared" si="0"/>
        <v>1.66</v>
      </c>
    </row>
    <row r="13" spans="3:25" ht="12" customHeight="1" x14ac:dyDescent="0.3">
      <c r="C13" s="72" t="s">
        <v>14</v>
      </c>
      <c r="D13" s="77"/>
      <c r="E13" s="74"/>
      <c r="F13" s="74"/>
      <c r="G13" s="74"/>
      <c r="H13" s="74"/>
      <c r="I13" s="74"/>
      <c r="J13" s="64"/>
      <c r="K13" s="64"/>
      <c r="L13" s="74"/>
      <c r="M13" s="75"/>
      <c r="V13" s="74">
        <f>H13*X13</f>
        <v>0</v>
      </c>
      <c r="W13" s="75">
        <f>H13*Y13</f>
        <v>0</v>
      </c>
      <c r="X13" s="57">
        <f t="shared" si="0"/>
        <v>0</v>
      </c>
      <c r="Y13" s="57">
        <f t="shared" si="0"/>
        <v>0</v>
      </c>
    </row>
    <row r="14" spans="3:25" ht="12" customHeight="1" x14ac:dyDescent="0.3">
      <c r="C14" s="72" t="s">
        <v>50</v>
      </c>
      <c r="D14" s="77"/>
      <c r="E14" s="74"/>
      <c r="F14" s="74"/>
      <c r="G14" s="74"/>
      <c r="H14" s="74"/>
      <c r="I14" s="74"/>
      <c r="J14" s="64"/>
      <c r="K14" s="64"/>
      <c r="L14" s="74"/>
      <c r="M14" s="75"/>
      <c r="V14" s="74">
        <f>H14*X14</f>
        <v>0</v>
      </c>
      <c r="W14" s="75">
        <f>H14*Y14</f>
        <v>0</v>
      </c>
      <c r="X14" s="57">
        <f t="shared" si="0"/>
        <v>0</v>
      </c>
      <c r="Y14" s="57">
        <f t="shared" si="0"/>
        <v>0</v>
      </c>
    </row>
    <row r="15" spans="3:25" ht="12" customHeight="1" x14ac:dyDescent="0.3">
      <c r="C15" s="72" t="s">
        <v>51</v>
      </c>
      <c r="D15" s="77">
        <f>(30+31+30)*24</f>
        <v>2184</v>
      </c>
      <c r="E15" s="64">
        <f>D73</f>
        <v>0.71</v>
      </c>
      <c r="F15" s="74">
        <v>187.5</v>
      </c>
      <c r="G15" s="74">
        <v>2657.7573519166663</v>
      </c>
      <c r="H15" s="74">
        <f>$D15*$E15*F15</f>
        <v>290745</v>
      </c>
      <c r="I15" s="74">
        <f>$D15*$E15*G15</f>
        <v>4121224.860176059</v>
      </c>
      <c r="J15" s="64">
        <f t="shared" ref="J15:J30" si="2">$J$10*E15</f>
        <v>2.8348962727503797</v>
      </c>
      <c r="K15" s="64">
        <f t="shared" ref="K15:K30" si="3">$K$10*E15</f>
        <v>2.3608756186722077</v>
      </c>
      <c r="L15" s="74">
        <f t="shared" si="1"/>
        <v>1160890.0236912805</v>
      </c>
      <c r="M15" s="75">
        <f t="shared" si="1"/>
        <v>13703801.81895132</v>
      </c>
      <c r="N15" s="59">
        <f>$D15*F15</f>
        <v>409500</v>
      </c>
      <c r="O15" s="59">
        <f>$D15*G15</f>
        <v>5804542.0565859992</v>
      </c>
      <c r="P15" s="59" t="s">
        <v>52</v>
      </c>
      <c r="Q15" s="59">
        <f>SUM(N15:O18)</f>
        <v>41383170.289618</v>
      </c>
      <c r="R15" s="60">
        <f>Q15/$Q$48</f>
        <v>0.1412820929283988</v>
      </c>
      <c r="T15" s="76">
        <v>0.51868862430757778</v>
      </c>
      <c r="V15" s="74">
        <f>F15*D15*X15</f>
        <v>1158885</v>
      </c>
      <c r="W15" s="75">
        <f>G15*D15*Y15</f>
        <v>13698719.253542958</v>
      </c>
      <c r="X15" s="57">
        <f t="shared" si="0"/>
        <v>2.83</v>
      </c>
      <c r="Y15" s="57">
        <f t="shared" si="0"/>
        <v>2.36</v>
      </c>
    </row>
    <row r="16" spans="3:25" ht="12" customHeight="1" x14ac:dyDescent="0.3">
      <c r="C16" s="72" t="s">
        <v>53</v>
      </c>
      <c r="D16" s="77">
        <f>(31+31+30)*24</f>
        <v>2208</v>
      </c>
      <c r="E16" s="64">
        <f>D74</f>
        <v>0.87</v>
      </c>
      <c r="F16" s="78">
        <v>300</v>
      </c>
      <c r="G16" s="74">
        <v>2436.9240185833332</v>
      </c>
      <c r="H16" s="74">
        <f t="shared" ref="H16:I30" si="4">$D16*$E16*F16</f>
        <v>576288</v>
      </c>
      <c r="I16" s="74">
        <f t="shared" si="4"/>
        <v>4681233.5627378402</v>
      </c>
      <c r="J16" s="64">
        <f t="shared" si="2"/>
        <v>3.4737461370321552</v>
      </c>
      <c r="K16" s="64">
        <f t="shared" si="3"/>
        <v>2.8929039271053814</v>
      </c>
      <c r="L16" s="74">
        <f t="shared" si="1"/>
        <v>2301009.4411700997</v>
      </c>
      <c r="M16" s="75">
        <f t="shared" si="1"/>
        <v>15565929.83602507</v>
      </c>
      <c r="N16" s="59">
        <f t="shared" ref="N16:O31" si="5">$D16*F16</f>
        <v>662400</v>
      </c>
      <c r="O16" s="59">
        <f t="shared" si="5"/>
        <v>5380728.2330319993</v>
      </c>
      <c r="P16" s="59" t="s">
        <v>52</v>
      </c>
      <c r="T16" s="76">
        <f>(T15-1)*R15</f>
        <v>-6.800067850807226E-2</v>
      </c>
      <c r="V16" s="74">
        <f t="shared" ref="V16:V47" si="6">F16*D16*X16</f>
        <v>2298528</v>
      </c>
      <c r="W16" s="75">
        <f t="shared" ref="W16:W47" si="7">G16*D16*Y16</f>
        <v>15550304.593462478</v>
      </c>
      <c r="X16" s="57">
        <f t="shared" si="0"/>
        <v>3.47</v>
      </c>
      <c r="Y16" s="57">
        <f t="shared" si="0"/>
        <v>2.89</v>
      </c>
    </row>
    <row r="17" spans="3:25" ht="12" customHeight="1" x14ac:dyDescent="0.3">
      <c r="C17" s="72" t="s">
        <v>54</v>
      </c>
      <c r="D17" s="77">
        <f>(31+30+31)*24</f>
        <v>2208</v>
      </c>
      <c r="E17" s="64">
        <f>D71</f>
        <v>1.72</v>
      </c>
      <c r="F17" s="74">
        <v>4.1666666666666288</v>
      </c>
      <c r="G17" s="74">
        <v>3318.75</v>
      </c>
      <c r="H17" s="74">
        <f t="shared" si="4"/>
        <v>15823.999999999854</v>
      </c>
      <c r="I17" s="74">
        <f t="shared" si="4"/>
        <v>12603816</v>
      </c>
      <c r="J17" s="64">
        <f t="shared" si="2"/>
        <v>6.8676360410290886</v>
      </c>
      <c r="K17" s="64">
        <f t="shared" si="3"/>
        <v>5.7193043156566157</v>
      </c>
      <c r="L17" s="74">
        <f t="shared" si="1"/>
        <v>63182.251577467039</v>
      </c>
      <c r="M17" s="75">
        <f t="shared" si="1"/>
        <v>41909918.164268546</v>
      </c>
      <c r="N17" s="59">
        <f t="shared" si="5"/>
        <v>9199.9999999999163</v>
      </c>
      <c r="O17" s="59">
        <f t="shared" si="5"/>
        <v>7327800</v>
      </c>
      <c r="P17" s="59" t="s">
        <v>52</v>
      </c>
      <c r="V17" s="74">
        <f t="shared" si="6"/>
        <v>63203.999999999425</v>
      </c>
      <c r="W17" s="75">
        <f t="shared" si="7"/>
        <v>41915016</v>
      </c>
      <c r="X17" s="57">
        <f t="shared" si="0"/>
        <v>6.87</v>
      </c>
      <c r="Y17" s="57">
        <f t="shared" si="0"/>
        <v>5.72</v>
      </c>
    </row>
    <row r="18" spans="3:25" ht="12" customHeight="1" x14ac:dyDescent="0.3">
      <c r="C18" s="72" t="s">
        <v>55</v>
      </c>
      <c r="D18" s="73">
        <f>(31+28+31)*24</f>
        <v>2160</v>
      </c>
      <c r="E18" s="64">
        <f>D72</f>
        <v>1.9</v>
      </c>
      <c r="F18" s="74">
        <v>379.16666666666697</v>
      </c>
      <c r="G18" s="74">
        <v>9708.3333333333339</v>
      </c>
      <c r="H18" s="74">
        <f t="shared" si="4"/>
        <v>1556100.0000000012</v>
      </c>
      <c r="I18" s="74">
        <f t="shared" si="4"/>
        <v>39843000</v>
      </c>
      <c r="J18" s="64">
        <f t="shared" si="2"/>
        <v>7.5863421383460858</v>
      </c>
      <c r="K18" s="64">
        <f t="shared" si="3"/>
        <v>6.3178361626439363</v>
      </c>
      <c r="L18" s="74">
        <f t="shared" si="1"/>
        <v>6213214.2113054497</v>
      </c>
      <c r="M18" s="75">
        <f t="shared" si="1"/>
        <v>132485024.33064334</v>
      </c>
      <c r="N18" s="59">
        <f t="shared" si="5"/>
        <v>819000.0000000007</v>
      </c>
      <c r="O18" s="59">
        <f t="shared" si="5"/>
        <v>20970000</v>
      </c>
      <c r="P18" s="59" t="s">
        <v>52</v>
      </c>
      <c r="V18" s="74">
        <f t="shared" si="6"/>
        <v>6216210.0000000056</v>
      </c>
      <c r="W18" s="75">
        <f t="shared" si="7"/>
        <v>132530400</v>
      </c>
      <c r="X18" s="57">
        <f t="shared" si="0"/>
        <v>7.59</v>
      </c>
      <c r="Y18" s="57">
        <f t="shared" si="0"/>
        <v>6.32</v>
      </c>
    </row>
    <row r="19" spans="3:25" ht="12" customHeight="1" x14ac:dyDescent="0.3">
      <c r="C19" s="72" t="s">
        <v>15</v>
      </c>
      <c r="D19" s="77">
        <f>30*24</f>
        <v>720</v>
      </c>
      <c r="E19" s="64">
        <f t="shared" ref="E19:E24" si="8">D82</f>
        <v>0.92</v>
      </c>
      <c r="F19" s="74">
        <v>733.33333333333348</v>
      </c>
      <c r="G19" s="74">
        <v>1958.3333333333333</v>
      </c>
      <c r="H19" s="74">
        <f t="shared" si="4"/>
        <v>485760.00000000006</v>
      </c>
      <c r="I19" s="74">
        <f t="shared" si="4"/>
        <v>1297200</v>
      </c>
      <c r="J19" s="64">
        <f t="shared" si="2"/>
        <v>3.6733867196202104</v>
      </c>
      <c r="K19" s="64">
        <f t="shared" si="3"/>
        <v>3.0591627734907481</v>
      </c>
      <c r="L19" s="74">
        <f t="shared" si="1"/>
        <v>1939548.1879594715</v>
      </c>
      <c r="M19" s="75">
        <f t="shared" si="1"/>
        <v>4313419.5106219547</v>
      </c>
      <c r="N19" s="59">
        <f>$D19*F19</f>
        <v>528000.00000000012</v>
      </c>
      <c r="O19" s="59">
        <f t="shared" si="5"/>
        <v>1410000</v>
      </c>
      <c r="P19" s="59" t="s">
        <v>56</v>
      </c>
      <c r="Q19" s="59">
        <f>SUM(N19:O30)</f>
        <v>34453850</v>
      </c>
      <c r="R19" s="60">
        <f>Q19/$Q$48</f>
        <v>0.11762540190552535</v>
      </c>
      <c r="T19" s="76">
        <v>0.80286544476113209</v>
      </c>
      <c r="V19" s="74">
        <f t="shared" si="6"/>
        <v>1937760.0000000005</v>
      </c>
      <c r="W19" s="75">
        <f t="shared" si="7"/>
        <v>4314600</v>
      </c>
      <c r="X19" s="57">
        <f t="shared" si="0"/>
        <v>3.67</v>
      </c>
      <c r="Y19" s="57">
        <f t="shared" si="0"/>
        <v>3.06</v>
      </c>
    </row>
    <row r="20" spans="3:25" ht="12" customHeight="1" x14ac:dyDescent="0.3">
      <c r="C20" s="72" t="s">
        <v>17</v>
      </c>
      <c r="D20" s="77">
        <f>31*24</f>
        <v>744</v>
      </c>
      <c r="E20" s="64">
        <f t="shared" si="8"/>
        <v>0.82</v>
      </c>
      <c r="F20" s="74">
        <v>1670.8333333333333</v>
      </c>
      <c r="G20" s="74">
        <v>150</v>
      </c>
      <c r="H20" s="74">
        <f t="shared" si="4"/>
        <v>1019341.9999999999</v>
      </c>
      <c r="I20" s="74">
        <f t="shared" si="4"/>
        <v>91511.999999999985</v>
      </c>
      <c r="J20" s="64">
        <f t="shared" si="2"/>
        <v>3.2741055544441005</v>
      </c>
      <c r="K20" s="64">
        <f t="shared" si="3"/>
        <v>2.7266450807200142</v>
      </c>
      <c r="L20" s="74">
        <f t="shared" si="1"/>
        <v>4070040.6147294613</v>
      </c>
      <c r="M20" s="75">
        <f t="shared" si="1"/>
        <v>304293.59100835357</v>
      </c>
      <c r="N20" s="59">
        <f t="shared" si="5"/>
        <v>1243100</v>
      </c>
      <c r="O20" s="59">
        <f t="shared" si="5"/>
        <v>111600</v>
      </c>
      <c r="P20" s="59" t="s">
        <v>56</v>
      </c>
      <c r="T20" s="76">
        <f>(T19-1)*R19</f>
        <v>-2.3188031289438828E-2</v>
      </c>
      <c r="V20" s="74">
        <f t="shared" si="6"/>
        <v>4064937</v>
      </c>
      <c r="W20" s="75">
        <f t="shared" si="7"/>
        <v>304668</v>
      </c>
      <c r="X20" s="57">
        <f t="shared" si="0"/>
        <v>3.27</v>
      </c>
      <c r="Y20" s="57">
        <f t="shared" si="0"/>
        <v>2.73</v>
      </c>
    </row>
    <row r="21" spans="3:25" ht="12" customHeight="1" x14ac:dyDescent="0.3">
      <c r="C21" s="72" t="s">
        <v>19</v>
      </c>
      <c r="D21" s="77">
        <f>D19</f>
        <v>720</v>
      </c>
      <c r="E21" s="64">
        <f t="shared" si="8"/>
        <v>0.71</v>
      </c>
      <c r="F21" s="74">
        <v>1941.6666666666667</v>
      </c>
      <c r="G21" s="74">
        <v>83.333333333333258</v>
      </c>
      <c r="H21" s="74">
        <f t="shared" si="4"/>
        <v>992580</v>
      </c>
      <c r="I21" s="74">
        <f t="shared" si="4"/>
        <v>42599.999999999964</v>
      </c>
      <c r="J21" s="64">
        <f t="shared" si="2"/>
        <v>2.8348962727503797</v>
      </c>
      <c r="K21" s="64">
        <f t="shared" si="3"/>
        <v>2.3608756186722077</v>
      </c>
      <c r="L21" s="74">
        <f t="shared" si="1"/>
        <v>3963184.989305031</v>
      </c>
      <c r="M21" s="75">
        <f t="shared" si="1"/>
        <v>141652.53712033233</v>
      </c>
      <c r="N21" s="59">
        <f t="shared" si="5"/>
        <v>1398000</v>
      </c>
      <c r="O21" s="59">
        <f t="shared" si="5"/>
        <v>59999.999999999942</v>
      </c>
      <c r="P21" s="59" t="s">
        <v>56</v>
      </c>
      <c r="V21" s="74">
        <f t="shared" si="6"/>
        <v>3956340</v>
      </c>
      <c r="W21" s="75">
        <f t="shared" si="7"/>
        <v>141599.99999999985</v>
      </c>
      <c r="X21" s="57">
        <f t="shared" si="0"/>
        <v>2.83</v>
      </c>
      <c r="Y21" s="57">
        <f t="shared" si="0"/>
        <v>2.36</v>
      </c>
    </row>
    <row r="22" spans="3:25" ht="12" customHeight="1" x14ac:dyDescent="0.3">
      <c r="C22" s="72" t="s">
        <v>21</v>
      </c>
      <c r="D22" s="77">
        <f>D20</f>
        <v>744</v>
      </c>
      <c r="E22" s="64">
        <f t="shared" si="8"/>
        <v>1.06</v>
      </c>
      <c r="F22" s="74">
        <v>2191.6666666666665</v>
      </c>
      <c r="G22" s="74">
        <v>425</v>
      </c>
      <c r="H22" s="74">
        <f t="shared" si="4"/>
        <v>1728435.9999999998</v>
      </c>
      <c r="I22" s="74">
        <f t="shared" si="4"/>
        <v>335172</v>
      </c>
      <c r="J22" s="64">
        <f t="shared" si="2"/>
        <v>4.2323803508667641</v>
      </c>
      <c r="K22" s="64">
        <f t="shared" si="3"/>
        <v>3.5246875433697751</v>
      </c>
      <c r="L22" s="74">
        <f t="shared" si="1"/>
        <v>6901319.4001233457</v>
      </c>
      <c r="M22" s="75">
        <f t="shared" si="1"/>
        <v>1114506.2012135228</v>
      </c>
      <c r="N22" s="59">
        <f t="shared" si="5"/>
        <v>1630600</v>
      </c>
      <c r="O22" s="59">
        <f t="shared" si="5"/>
        <v>316200</v>
      </c>
      <c r="P22" s="59" t="s">
        <v>56</v>
      </c>
      <c r="T22" s="79">
        <f>T11+T16+T20</f>
        <v>0.13762753443114359</v>
      </c>
      <c r="V22" s="74">
        <f t="shared" si="6"/>
        <v>6897438.0000000009</v>
      </c>
      <c r="W22" s="75">
        <f t="shared" si="7"/>
        <v>1113024</v>
      </c>
      <c r="X22" s="57">
        <f t="shared" si="0"/>
        <v>4.2300000000000004</v>
      </c>
      <c r="Y22" s="57">
        <f t="shared" si="0"/>
        <v>3.52</v>
      </c>
    </row>
    <row r="23" spans="3:25" ht="12" customHeight="1" x14ac:dyDescent="0.3">
      <c r="C23" s="72" t="s">
        <v>23</v>
      </c>
      <c r="D23" s="77">
        <f>D22</f>
        <v>744</v>
      </c>
      <c r="E23" s="64">
        <f t="shared" si="8"/>
        <v>0.86</v>
      </c>
      <c r="F23" s="74">
        <v>1975</v>
      </c>
      <c r="G23" s="74">
        <v>200</v>
      </c>
      <c r="H23" s="74">
        <f t="shared" si="4"/>
        <v>1263684</v>
      </c>
      <c r="I23" s="74">
        <f t="shared" si="4"/>
        <v>127968</v>
      </c>
      <c r="J23" s="64">
        <f t="shared" si="2"/>
        <v>3.4338180205145443</v>
      </c>
      <c r="K23" s="64">
        <f t="shared" si="3"/>
        <v>2.8596521578283078</v>
      </c>
      <c r="L23" s="74">
        <f t="shared" si="1"/>
        <v>5045652.1993440716</v>
      </c>
      <c r="M23" s="75">
        <f t="shared" si="1"/>
        <v>425516.2410848522</v>
      </c>
      <c r="N23" s="59">
        <f t="shared" si="5"/>
        <v>1469400</v>
      </c>
      <c r="O23" s="59">
        <f t="shared" si="5"/>
        <v>148800</v>
      </c>
      <c r="P23" s="59" t="s">
        <v>56</v>
      </c>
      <c r="V23" s="74">
        <f t="shared" si="6"/>
        <v>5040042</v>
      </c>
      <c r="W23" s="75">
        <f t="shared" si="7"/>
        <v>425568</v>
      </c>
      <c r="X23" s="57">
        <f t="shared" si="0"/>
        <v>3.43</v>
      </c>
      <c r="Y23" s="57">
        <f t="shared" si="0"/>
        <v>2.86</v>
      </c>
    </row>
    <row r="24" spans="3:25" ht="12" customHeight="1" x14ac:dyDescent="0.3">
      <c r="C24" s="72" t="s">
        <v>24</v>
      </c>
      <c r="D24" s="77">
        <f>D21</f>
        <v>720</v>
      </c>
      <c r="E24" s="64">
        <f t="shared" si="8"/>
        <v>1.07</v>
      </c>
      <c r="F24" s="74">
        <v>1437.5</v>
      </c>
      <c r="G24" s="74">
        <v>533.33333333333348</v>
      </c>
      <c r="H24" s="74">
        <f t="shared" si="4"/>
        <v>1107450.0000000002</v>
      </c>
      <c r="I24" s="74">
        <f t="shared" si="4"/>
        <v>410880.00000000017</v>
      </c>
      <c r="J24" s="64">
        <f t="shared" si="2"/>
        <v>4.2723084673843754</v>
      </c>
      <c r="K24" s="64">
        <f t="shared" si="3"/>
        <v>3.5579393126468486</v>
      </c>
      <c r="L24" s="74">
        <f t="shared" si="1"/>
        <v>4421839.2637428287</v>
      </c>
      <c r="M24" s="75">
        <f t="shared" si="1"/>
        <v>1366248.6960563902</v>
      </c>
      <c r="N24" s="59">
        <f t="shared" si="5"/>
        <v>1035000</v>
      </c>
      <c r="O24" s="59">
        <f t="shared" si="5"/>
        <v>384000.00000000012</v>
      </c>
      <c r="P24" s="59" t="s">
        <v>56</v>
      </c>
      <c r="V24" s="74">
        <f t="shared" si="6"/>
        <v>4419450</v>
      </c>
      <c r="W24" s="75">
        <f t="shared" si="7"/>
        <v>1367040.0000000005</v>
      </c>
      <c r="X24" s="57">
        <f t="shared" si="0"/>
        <v>4.2699999999999996</v>
      </c>
      <c r="Y24" s="57">
        <f t="shared" si="0"/>
        <v>3.56</v>
      </c>
    </row>
    <row r="25" spans="3:25" ht="12" customHeight="1" x14ac:dyDescent="0.3">
      <c r="C25" s="72" t="s">
        <v>57</v>
      </c>
      <c r="D25" s="77">
        <f>D23</f>
        <v>744</v>
      </c>
      <c r="E25" s="64">
        <f t="shared" ref="E25:E30" si="9">D76</f>
        <v>1.34</v>
      </c>
      <c r="F25" s="74">
        <v>1808.3333333333335</v>
      </c>
      <c r="G25" s="74">
        <v>1147.9166666666665</v>
      </c>
      <c r="H25" s="74">
        <f t="shared" si="4"/>
        <v>1802836.0000000002</v>
      </c>
      <c r="I25" s="74">
        <f t="shared" si="4"/>
        <v>1144427</v>
      </c>
      <c r="J25" s="64">
        <f t="shared" si="2"/>
        <v>5.3503676133598717</v>
      </c>
      <c r="K25" s="64">
        <f t="shared" si="3"/>
        <v>4.4557370831278291</v>
      </c>
      <c r="L25" s="74">
        <f t="shared" si="1"/>
        <v>7198384.5870143715</v>
      </c>
      <c r="M25" s="75">
        <f t="shared" si="1"/>
        <v>3805422.2558453218</v>
      </c>
      <c r="N25" s="59">
        <f t="shared" si="5"/>
        <v>1345400</v>
      </c>
      <c r="O25" s="59">
        <f t="shared" si="5"/>
        <v>854049.99999999988</v>
      </c>
      <c r="P25" s="59" t="s">
        <v>56</v>
      </c>
      <c r="V25" s="74">
        <f t="shared" si="6"/>
        <v>7197889.9999999991</v>
      </c>
      <c r="W25" s="75">
        <f t="shared" si="7"/>
        <v>3809062.9999999995</v>
      </c>
      <c r="X25" s="57">
        <f t="shared" si="0"/>
        <v>5.35</v>
      </c>
      <c r="Y25" s="57">
        <f t="shared" si="0"/>
        <v>4.46</v>
      </c>
    </row>
    <row r="26" spans="3:25" ht="12" customHeight="1" x14ac:dyDescent="0.3">
      <c r="C26" s="72" t="s">
        <v>58</v>
      </c>
      <c r="D26" s="77">
        <f>D24</f>
        <v>720</v>
      </c>
      <c r="E26" s="64">
        <f t="shared" si="9"/>
        <v>1.92</v>
      </c>
      <c r="F26" s="74">
        <v>1650</v>
      </c>
      <c r="G26" s="74">
        <v>4881.25</v>
      </c>
      <c r="H26" s="74">
        <f t="shared" si="4"/>
        <v>2280960</v>
      </c>
      <c r="I26" s="74">
        <f t="shared" si="4"/>
        <v>6747839.9999999991</v>
      </c>
      <c r="J26" s="64">
        <f t="shared" si="2"/>
        <v>7.6661983713813084</v>
      </c>
      <c r="K26" s="64">
        <f t="shared" si="3"/>
        <v>6.3843397011980825</v>
      </c>
      <c r="L26" s="74">
        <f t="shared" si="1"/>
        <v>9107443.6652009953</v>
      </c>
      <c r="M26" s="75">
        <f t="shared" si="1"/>
        <v>22437761.879860662</v>
      </c>
      <c r="N26" s="59">
        <f t="shared" si="5"/>
        <v>1188000</v>
      </c>
      <c r="O26" s="59">
        <f t="shared" si="5"/>
        <v>3514500</v>
      </c>
      <c r="P26" s="59" t="s">
        <v>56</v>
      </c>
      <c r="V26" s="74">
        <f t="shared" si="6"/>
        <v>9111960</v>
      </c>
      <c r="W26" s="75">
        <f t="shared" si="7"/>
        <v>22422510</v>
      </c>
      <c r="X26" s="57">
        <f t="shared" si="0"/>
        <v>7.67</v>
      </c>
      <c r="Y26" s="57">
        <f t="shared" si="0"/>
        <v>6.38</v>
      </c>
    </row>
    <row r="27" spans="3:25" ht="12" customHeight="1" x14ac:dyDescent="0.3">
      <c r="C27" s="72" t="s">
        <v>59</v>
      </c>
      <c r="D27" s="77">
        <f>D25</f>
        <v>744</v>
      </c>
      <c r="E27" s="64">
        <f t="shared" si="9"/>
        <v>2.7</v>
      </c>
      <c r="F27" s="74">
        <v>2074.9999999999991</v>
      </c>
      <c r="G27" s="74">
        <v>9718.75</v>
      </c>
      <c r="H27" s="74">
        <f t="shared" si="4"/>
        <v>4168259.9999999986</v>
      </c>
      <c r="I27" s="74">
        <f t="shared" si="4"/>
        <v>19523025</v>
      </c>
      <c r="J27" s="64">
        <f t="shared" si="2"/>
        <v>10.780591459754966</v>
      </c>
      <c r="K27" s="64">
        <f t="shared" si="3"/>
        <v>8.9779777048098044</v>
      </c>
      <c r="L27" s="74">
        <f t="shared" si="1"/>
        <v>16643077.095569709</v>
      </c>
      <c r="M27" s="75">
        <f t="shared" si="1"/>
        <v>64917512.289053492</v>
      </c>
      <c r="N27" s="59">
        <f t="shared" si="5"/>
        <v>1543799.9999999993</v>
      </c>
      <c r="O27" s="59">
        <f t="shared" si="5"/>
        <v>7230750</v>
      </c>
      <c r="P27" s="59" t="s">
        <v>56</v>
      </c>
      <c r="V27" s="74">
        <f t="shared" si="6"/>
        <v>16642163.999999991</v>
      </c>
      <c r="W27" s="75">
        <f t="shared" si="7"/>
        <v>64932135</v>
      </c>
      <c r="X27" s="57">
        <f t="shared" si="0"/>
        <v>10.78</v>
      </c>
      <c r="Y27" s="57">
        <f t="shared" si="0"/>
        <v>8.98</v>
      </c>
    </row>
    <row r="28" spans="3:25" ht="12" customHeight="1" x14ac:dyDescent="0.3">
      <c r="C28" s="72" t="s">
        <v>60</v>
      </c>
      <c r="D28" s="77">
        <f>D27</f>
        <v>744</v>
      </c>
      <c r="E28" s="64">
        <f t="shared" si="9"/>
        <v>2.98</v>
      </c>
      <c r="F28" s="74">
        <v>1175</v>
      </c>
      <c r="G28" s="74">
        <v>4437.5</v>
      </c>
      <c r="H28" s="74">
        <f t="shared" si="4"/>
        <v>2605116</v>
      </c>
      <c r="I28" s="74">
        <f t="shared" si="4"/>
        <v>9838470</v>
      </c>
      <c r="J28" s="64">
        <f t="shared" si="2"/>
        <v>11.898578722248072</v>
      </c>
      <c r="K28" s="64">
        <f t="shared" si="3"/>
        <v>9.9090272445678576</v>
      </c>
      <c r="L28" s="74">
        <f t="shared" si="1"/>
        <v>10401737.518989265</v>
      </c>
      <c r="M28" s="75">
        <f t="shared" si="1"/>
        <v>32714653.447940782</v>
      </c>
      <c r="N28" s="59">
        <f t="shared" si="5"/>
        <v>874200</v>
      </c>
      <c r="O28" s="59">
        <f t="shared" si="5"/>
        <v>3301500</v>
      </c>
      <c r="P28" s="59" t="s">
        <v>56</v>
      </c>
      <c r="V28" s="74">
        <f t="shared" si="6"/>
        <v>10402980</v>
      </c>
      <c r="W28" s="75">
        <f t="shared" si="7"/>
        <v>32717865</v>
      </c>
      <c r="X28" s="57">
        <f t="shared" si="0"/>
        <v>11.9</v>
      </c>
      <c r="Y28" s="57">
        <f t="shared" si="0"/>
        <v>9.91</v>
      </c>
    </row>
    <row r="29" spans="3:25" ht="12" customHeight="1" x14ac:dyDescent="0.3">
      <c r="C29" s="72" t="s">
        <v>61</v>
      </c>
      <c r="D29" s="73">
        <f>28*24</f>
        <v>672</v>
      </c>
      <c r="E29" s="64">
        <f t="shared" si="9"/>
        <v>1.97</v>
      </c>
      <c r="F29" s="74">
        <v>1129.1666666666665</v>
      </c>
      <c r="G29" s="74">
        <v>2983.3333333333335</v>
      </c>
      <c r="H29" s="74">
        <f t="shared" si="4"/>
        <v>1494835.9999999998</v>
      </c>
      <c r="I29" s="74">
        <f t="shared" si="4"/>
        <v>3949456</v>
      </c>
      <c r="J29" s="64">
        <f t="shared" si="2"/>
        <v>7.8658389539693632</v>
      </c>
      <c r="K29" s="64">
        <f t="shared" si="3"/>
        <v>6.5505985475834496</v>
      </c>
      <c r="L29" s="74">
        <f t="shared" si="1"/>
        <v>5968598.598271952</v>
      </c>
      <c r="M29" s="75">
        <f t="shared" si="1"/>
        <v>13132639.968195301</v>
      </c>
      <c r="N29" s="59">
        <f t="shared" si="5"/>
        <v>758799.99999999988</v>
      </c>
      <c r="O29" s="59">
        <f t="shared" si="5"/>
        <v>2004800</v>
      </c>
      <c r="P29" s="59" t="s">
        <v>56</v>
      </c>
      <c r="V29" s="74">
        <f t="shared" si="6"/>
        <v>5971755.9999999991</v>
      </c>
      <c r="W29" s="75">
        <f t="shared" si="7"/>
        <v>13131440</v>
      </c>
      <c r="X29" s="57">
        <f t="shared" si="0"/>
        <v>7.87</v>
      </c>
      <c r="Y29" s="57">
        <f t="shared" si="0"/>
        <v>6.55</v>
      </c>
    </row>
    <row r="30" spans="3:25" ht="12" customHeight="1" x14ac:dyDescent="0.3">
      <c r="C30" s="72" t="s">
        <v>62</v>
      </c>
      <c r="D30" s="77">
        <f>D28</f>
        <v>744</v>
      </c>
      <c r="E30" s="64">
        <f t="shared" si="9"/>
        <v>1.64</v>
      </c>
      <c r="F30" s="74">
        <v>1450</v>
      </c>
      <c r="G30" s="74">
        <v>1377.0833333333333</v>
      </c>
      <c r="H30" s="74">
        <f t="shared" si="4"/>
        <v>1769231.9999999998</v>
      </c>
      <c r="I30" s="74">
        <f t="shared" si="4"/>
        <v>1680261.9999999998</v>
      </c>
      <c r="J30" s="64">
        <f t="shared" si="2"/>
        <v>6.5482111088882009</v>
      </c>
      <c r="K30" s="64">
        <f t="shared" si="3"/>
        <v>5.4532901614400284</v>
      </c>
      <c r="L30" s="74">
        <f t="shared" si="1"/>
        <v>7064210.144268591</v>
      </c>
      <c r="M30" s="75">
        <f t="shared" si="1"/>
        <v>5587168.4349033814</v>
      </c>
      <c r="N30" s="59">
        <f t="shared" si="5"/>
        <v>1078800</v>
      </c>
      <c r="O30" s="59">
        <f t="shared" si="5"/>
        <v>1024550</v>
      </c>
      <c r="P30" s="59" t="s">
        <v>56</v>
      </c>
      <c r="V30" s="74">
        <f t="shared" si="6"/>
        <v>7066140</v>
      </c>
      <c r="W30" s="75">
        <f t="shared" si="7"/>
        <v>5583797.5</v>
      </c>
      <c r="X30" s="57">
        <f t="shared" si="0"/>
        <v>6.55</v>
      </c>
      <c r="Y30" s="57">
        <f t="shared" si="0"/>
        <v>5.45</v>
      </c>
    </row>
    <row r="31" spans="3:25" ht="12" customHeight="1" x14ac:dyDescent="0.3">
      <c r="C31" s="80" t="s">
        <v>63</v>
      </c>
      <c r="D31" s="81"/>
      <c r="E31" s="82"/>
      <c r="F31" s="83"/>
      <c r="G31" s="83"/>
      <c r="H31" s="74"/>
      <c r="I31" s="74"/>
      <c r="J31" s="82"/>
      <c r="K31" s="82"/>
      <c r="L31" s="74"/>
      <c r="M31" s="75"/>
      <c r="N31" s="59">
        <f t="shared" si="5"/>
        <v>0</v>
      </c>
      <c r="O31" s="59">
        <f t="shared" si="5"/>
        <v>0</v>
      </c>
      <c r="V31" s="74">
        <f t="shared" si="6"/>
        <v>0</v>
      </c>
      <c r="W31" s="75">
        <f t="shared" si="7"/>
        <v>0</v>
      </c>
      <c r="X31" s="57">
        <f t="shared" si="0"/>
        <v>0</v>
      </c>
      <c r="Y31" s="57">
        <f t="shared" si="0"/>
        <v>0</v>
      </c>
    </row>
    <row r="32" spans="3:25" ht="12" customHeight="1" x14ac:dyDescent="0.3">
      <c r="C32" s="84" t="s">
        <v>64</v>
      </c>
      <c r="D32" s="81">
        <f t="shared" ref="D32:E47" si="10">D15</f>
        <v>2184</v>
      </c>
      <c r="E32" s="82">
        <f t="shared" si="10"/>
        <v>0.71</v>
      </c>
      <c r="F32" s="83">
        <v>0</v>
      </c>
      <c r="G32" s="83">
        <v>558.33333333333337</v>
      </c>
      <c r="H32" s="74">
        <f>$D32*$E32*F32*$E$12</f>
        <v>0</v>
      </c>
      <c r="I32" s="74">
        <f>$D32*$E32*G32*$E$12</f>
        <v>432887</v>
      </c>
      <c r="J32" s="82">
        <f>$J$11*E32</f>
        <v>1.4174481363751898</v>
      </c>
      <c r="K32" s="82">
        <f>$K$12*E32</f>
        <v>1.1804378093361039</v>
      </c>
      <c r="L32" s="74">
        <f t="shared" ref="L32:M47" si="11">F32*$D32*J32</f>
        <v>0</v>
      </c>
      <c r="M32" s="75">
        <f t="shared" si="11"/>
        <v>1439425.864704445</v>
      </c>
      <c r="N32" s="59">
        <f t="shared" ref="N32:O47" si="12">$D32*F32</f>
        <v>0</v>
      </c>
      <c r="O32" s="59">
        <f t="shared" si="12"/>
        <v>1219400</v>
      </c>
      <c r="V32" s="74">
        <f t="shared" si="6"/>
        <v>0</v>
      </c>
      <c r="W32" s="75">
        <f t="shared" si="7"/>
        <v>1438892</v>
      </c>
      <c r="X32" s="57">
        <f t="shared" si="0"/>
        <v>1.42</v>
      </c>
      <c r="Y32" s="57">
        <f t="shared" si="0"/>
        <v>1.18</v>
      </c>
    </row>
    <row r="33" spans="3:25" ht="12" customHeight="1" x14ac:dyDescent="0.3">
      <c r="C33" s="84" t="s">
        <v>65</v>
      </c>
      <c r="D33" s="81">
        <f t="shared" si="10"/>
        <v>2208</v>
      </c>
      <c r="E33" s="82">
        <f t="shared" si="10"/>
        <v>0.87</v>
      </c>
      <c r="F33" s="83">
        <v>0</v>
      </c>
      <c r="G33" s="83">
        <v>2375</v>
      </c>
      <c r="H33" s="74">
        <f>$D33*$E33*F33*$E$12</f>
        <v>0</v>
      </c>
      <c r="I33" s="74">
        <f t="shared" ref="I33:I47" si="13">$D33*$E33*G33*$E$12</f>
        <v>2281140</v>
      </c>
      <c r="J33" s="82">
        <f t="shared" ref="J33:J47" si="14">$J$11*E33</f>
        <v>1.7368730685160776</v>
      </c>
      <c r="K33" s="82">
        <f t="shared" ref="K33:K47" si="15">$K$12*E33</f>
        <v>1.4464519635526907</v>
      </c>
      <c r="L33" s="74">
        <f t="shared" si="11"/>
        <v>0</v>
      </c>
      <c r="M33" s="75">
        <f t="shared" si="11"/>
        <v>7585194.0968703097</v>
      </c>
      <c r="N33" s="59">
        <f t="shared" si="12"/>
        <v>0</v>
      </c>
      <c r="O33" s="59">
        <f t="shared" si="12"/>
        <v>5244000</v>
      </c>
      <c r="V33" s="74">
        <f t="shared" si="6"/>
        <v>0</v>
      </c>
      <c r="W33" s="75">
        <f t="shared" si="7"/>
        <v>7603800</v>
      </c>
      <c r="X33" s="57">
        <f t="shared" si="0"/>
        <v>1.74</v>
      </c>
      <c r="Y33" s="57">
        <f t="shared" si="0"/>
        <v>1.45</v>
      </c>
    </row>
    <row r="34" spans="3:25" ht="12" customHeight="1" x14ac:dyDescent="0.3">
      <c r="C34" s="84" t="s">
        <v>66</v>
      </c>
      <c r="D34" s="81">
        <f t="shared" si="10"/>
        <v>2208</v>
      </c>
      <c r="E34" s="82">
        <f t="shared" si="10"/>
        <v>1.72</v>
      </c>
      <c r="F34" s="83">
        <v>291.66666666666669</v>
      </c>
      <c r="G34" s="83">
        <v>4.2084166666666674</v>
      </c>
      <c r="H34" s="74">
        <f>$D34*$E34*F34*$E$12</f>
        <v>553840</v>
      </c>
      <c r="I34" s="74">
        <f t="shared" si="13"/>
        <v>7991.2782400000006</v>
      </c>
      <c r="J34" s="82">
        <f t="shared" si="14"/>
        <v>3.4338180205145443</v>
      </c>
      <c r="K34" s="82">
        <f t="shared" si="15"/>
        <v>2.8596521578283078</v>
      </c>
      <c r="L34" s="74">
        <f t="shared" si="11"/>
        <v>2211378.8052113666</v>
      </c>
      <c r="M34" s="75">
        <f t="shared" si="11"/>
        <v>26572.414026537681</v>
      </c>
      <c r="N34" s="59">
        <f t="shared" si="12"/>
        <v>644000</v>
      </c>
      <c r="O34" s="59">
        <f t="shared" si="12"/>
        <v>9292.1840000000011</v>
      </c>
      <c r="V34" s="74">
        <f t="shared" si="6"/>
        <v>2208920</v>
      </c>
      <c r="W34" s="75">
        <f t="shared" si="7"/>
        <v>26575.646240000002</v>
      </c>
      <c r="X34" s="57">
        <f t="shared" si="0"/>
        <v>3.43</v>
      </c>
      <c r="Y34" s="57">
        <f t="shared" si="0"/>
        <v>2.86</v>
      </c>
    </row>
    <row r="35" spans="3:25" ht="12" customHeight="1" x14ac:dyDescent="0.3">
      <c r="C35" s="84" t="s">
        <v>67</v>
      </c>
      <c r="D35" s="81">
        <f t="shared" si="10"/>
        <v>2160</v>
      </c>
      <c r="E35" s="82">
        <f t="shared" si="10"/>
        <v>1.9</v>
      </c>
      <c r="F35" s="83">
        <v>4895.833333333333</v>
      </c>
      <c r="G35" s="83">
        <v>4.1666666666666664E-2</v>
      </c>
      <c r="H35" s="74">
        <f>$D35*$E35*F35*$E$12</f>
        <v>10046250</v>
      </c>
      <c r="I35" s="74">
        <f t="shared" si="13"/>
        <v>85.5</v>
      </c>
      <c r="J35" s="82">
        <f t="shared" si="14"/>
        <v>3.7931710691730429</v>
      </c>
      <c r="K35" s="82">
        <f t="shared" si="15"/>
        <v>3.1589180813219682</v>
      </c>
      <c r="L35" s="74">
        <f t="shared" si="11"/>
        <v>40112784.056504928</v>
      </c>
      <c r="M35" s="75">
        <f t="shared" si="11"/>
        <v>284.30262731897716</v>
      </c>
      <c r="N35" s="59">
        <f t="shared" si="12"/>
        <v>10575000</v>
      </c>
      <c r="O35" s="59">
        <f t="shared" si="12"/>
        <v>90</v>
      </c>
      <c r="V35" s="74">
        <f t="shared" si="6"/>
        <v>40079250</v>
      </c>
      <c r="W35" s="75">
        <f t="shared" si="7"/>
        <v>284.40000000000003</v>
      </c>
      <c r="X35" s="57">
        <f t="shared" si="0"/>
        <v>3.79</v>
      </c>
      <c r="Y35" s="57">
        <f t="shared" si="0"/>
        <v>3.16</v>
      </c>
    </row>
    <row r="36" spans="3:25" ht="12" customHeight="1" x14ac:dyDescent="0.3">
      <c r="C36" s="84" t="s">
        <v>16</v>
      </c>
      <c r="D36" s="81">
        <f t="shared" si="10"/>
        <v>720</v>
      </c>
      <c r="E36" s="82">
        <f t="shared" si="10"/>
        <v>0.92</v>
      </c>
      <c r="F36" s="83">
        <v>1375</v>
      </c>
      <c r="G36" s="83">
        <v>450</v>
      </c>
      <c r="H36" s="74">
        <f t="shared" ref="H36:H47" si="16">$D36*$E36*F36*$E$12</f>
        <v>455400</v>
      </c>
      <c r="I36" s="74">
        <f t="shared" si="13"/>
        <v>149040</v>
      </c>
      <c r="J36" s="82">
        <f t="shared" si="14"/>
        <v>1.8366933598101052</v>
      </c>
      <c r="K36" s="82">
        <f t="shared" si="15"/>
        <v>1.529581386745374</v>
      </c>
      <c r="L36" s="74">
        <f t="shared" si="11"/>
        <v>1818326.4262120042</v>
      </c>
      <c r="M36" s="75">
        <f t="shared" si="11"/>
        <v>495584.36930550117</v>
      </c>
      <c r="N36" s="59">
        <f t="shared" si="12"/>
        <v>990000</v>
      </c>
      <c r="O36" s="59">
        <f t="shared" si="12"/>
        <v>324000</v>
      </c>
      <c r="V36" s="74">
        <f t="shared" si="6"/>
        <v>1821600</v>
      </c>
      <c r="W36" s="75">
        <f t="shared" si="7"/>
        <v>495720</v>
      </c>
      <c r="X36" s="57">
        <f t="shared" si="0"/>
        <v>1.84</v>
      </c>
      <c r="Y36" s="57">
        <f t="shared" si="0"/>
        <v>1.53</v>
      </c>
    </row>
    <row r="37" spans="3:25" ht="12" customHeight="1" x14ac:dyDescent="0.3">
      <c r="C37" s="84" t="s">
        <v>18</v>
      </c>
      <c r="D37" s="81">
        <f t="shared" si="10"/>
        <v>744</v>
      </c>
      <c r="E37" s="82">
        <f t="shared" si="10"/>
        <v>0.82</v>
      </c>
      <c r="F37" s="83">
        <v>1.25</v>
      </c>
      <c r="G37" s="83">
        <v>1541.6666666666667</v>
      </c>
      <c r="H37" s="74">
        <f t="shared" si="16"/>
        <v>381.29999999999995</v>
      </c>
      <c r="I37" s="74">
        <f t="shared" si="13"/>
        <v>470269.99999999994</v>
      </c>
      <c r="J37" s="82">
        <f t="shared" si="14"/>
        <v>1.6370527772220502</v>
      </c>
      <c r="K37" s="82">
        <f t="shared" si="15"/>
        <v>1.3633225403600071</v>
      </c>
      <c r="L37" s="74">
        <f t="shared" si="11"/>
        <v>1522.4590828165067</v>
      </c>
      <c r="M37" s="75">
        <f t="shared" si="11"/>
        <v>1563730.9537929283</v>
      </c>
      <c r="N37" s="59">
        <f t="shared" si="12"/>
        <v>930</v>
      </c>
      <c r="O37" s="59">
        <f t="shared" si="12"/>
        <v>1147000</v>
      </c>
      <c r="V37" s="74">
        <f t="shared" si="6"/>
        <v>1525.1999999999998</v>
      </c>
      <c r="W37" s="75">
        <f t="shared" si="7"/>
        <v>1559920</v>
      </c>
      <c r="X37" s="57">
        <f t="shared" si="0"/>
        <v>1.64</v>
      </c>
      <c r="Y37" s="57">
        <f t="shared" si="0"/>
        <v>1.36</v>
      </c>
    </row>
    <row r="38" spans="3:25" ht="12" customHeight="1" x14ac:dyDescent="0.3">
      <c r="C38" s="84" t="s">
        <v>20</v>
      </c>
      <c r="D38" s="81">
        <f t="shared" si="10"/>
        <v>720</v>
      </c>
      <c r="E38" s="82">
        <f t="shared" si="10"/>
        <v>0.71</v>
      </c>
      <c r="F38" s="83">
        <v>0</v>
      </c>
      <c r="G38" s="83">
        <v>1791.6666666666667</v>
      </c>
      <c r="H38" s="74">
        <f t="shared" si="16"/>
        <v>0</v>
      </c>
      <c r="I38" s="74">
        <f t="shared" si="13"/>
        <v>457950</v>
      </c>
      <c r="J38" s="82">
        <f t="shared" si="14"/>
        <v>1.4174481363751898</v>
      </c>
      <c r="K38" s="82">
        <f t="shared" si="15"/>
        <v>1.1804378093361039</v>
      </c>
      <c r="L38" s="74">
        <f t="shared" si="11"/>
        <v>0</v>
      </c>
      <c r="M38" s="75">
        <f t="shared" si="11"/>
        <v>1522764.774043574</v>
      </c>
      <c r="N38" s="59">
        <f t="shared" si="12"/>
        <v>0</v>
      </c>
      <c r="O38" s="59">
        <f t="shared" si="12"/>
        <v>1290000</v>
      </c>
      <c r="V38" s="74">
        <f t="shared" si="6"/>
        <v>0</v>
      </c>
      <c r="W38" s="75">
        <f t="shared" si="7"/>
        <v>1522200</v>
      </c>
      <c r="X38" s="57">
        <f t="shared" si="0"/>
        <v>1.42</v>
      </c>
      <c r="Y38" s="57">
        <f t="shared" si="0"/>
        <v>1.18</v>
      </c>
    </row>
    <row r="39" spans="3:25" ht="12" customHeight="1" x14ac:dyDescent="0.3">
      <c r="C39" s="84" t="s">
        <v>22</v>
      </c>
      <c r="D39" s="81">
        <f t="shared" si="10"/>
        <v>744</v>
      </c>
      <c r="E39" s="82">
        <f t="shared" si="10"/>
        <v>1.06</v>
      </c>
      <c r="F39" s="83">
        <v>0</v>
      </c>
      <c r="G39" s="83">
        <v>2258.3333333333335</v>
      </c>
      <c r="H39" s="74">
        <f t="shared" si="16"/>
        <v>0</v>
      </c>
      <c r="I39" s="74">
        <f t="shared" si="13"/>
        <v>890506</v>
      </c>
      <c r="J39" s="82">
        <f t="shared" si="14"/>
        <v>2.1161901754333821</v>
      </c>
      <c r="K39" s="82">
        <f t="shared" si="15"/>
        <v>1.7623437716848875</v>
      </c>
      <c r="L39" s="74">
        <f t="shared" si="11"/>
        <v>0</v>
      </c>
      <c r="M39" s="75">
        <f t="shared" si="11"/>
        <v>2961090.005184948</v>
      </c>
      <c r="N39" s="59">
        <f t="shared" si="12"/>
        <v>0</v>
      </c>
      <c r="O39" s="59">
        <f t="shared" si="12"/>
        <v>1680200</v>
      </c>
      <c r="V39" s="74">
        <f t="shared" si="6"/>
        <v>0</v>
      </c>
      <c r="W39" s="75">
        <f t="shared" si="7"/>
        <v>2957152</v>
      </c>
      <c r="X39" s="57">
        <f t="shared" si="0"/>
        <v>2.12</v>
      </c>
      <c r="Y39" s="57">
        <f t="shared" si="0"/>
        <v>1.76</v>
      </c>
    </row>
    <row r="40" spans="3:25" ht="12" customHeight="1" x14ac:dyDescent="0.3">
      <c r="C40" s="84" t="s">
        <v>68</v>
      </c>
      <c r="D40" s="81">
        <f t="shared" si="10"/>
        <v>744</v>
      </c>
      <c r="E40" s="82">
        <f t="shared" si="10"/>
        <v>0.86</v>
      </c>
      <c r="F40" s="83">
        <v>0</v>
      </c>
      <c r="G40" s="83">
        <v>2358.3333333333335</v>
      </c>
      <c r="H40" s="74">
        <f t="shared" si="16"/>
        <v>0</v>
      </c>
      <c r="I40" s="74">
        <f t="shared" si="13"/>
        <v>754478.00000000012</v>
      </c>
      <c r="J40" s="82">
        <f t="shared" si="14"/>
        <v>1.7169090102572722</v>
      </c>
      <c r="K40" s="82">
        <f t="shared" si="15"/>
        <v>1.4298260789141539</v>
      </c>
      <c r="L40" s="74">
        <f t="shared" si="11"/>
        <v>0</v>
      </c>
      <c r="M40" s="75">
        <f t="shared" si="11"/>
        <v>2508772.8380627744</v>
      </c>
      <c r="N40" s="59">
        <f t="shared" si="12"/>
        <v>0</v>
      </c>
      <c r="O40" s="59">
        <f t="shared" si="12"/>
        <v>1754600</v>
      </c>
      <c r="V40" s="74">
        <f t="shared" si="6"/>
        <v>0</v>
      </c>
      <c r="W40" s="75">
        <f t="shared" si="7"/>
        <v>2509078</v>
      </c>
      <c r="X40" s="57">
        <f t="shared" si="0"/>
        <v>1.72</v>
      </c>
      <c r="Y40" s="57">
        <f t="shared" si="0"/>
        <v>1.43</v>
      </c>
    </row>
    <row r="41" spans="3:25" ht="12" customHeight="1" x14ac:dyDescent="0.3">
      <c r="C41" s="84" t="s">
        <v>25</v>
      </c>
      <c r="D41" s="81">
        <f t="shared" si="10"/>
        <v>720</v>
      </c>
      <c r="E41" s="82">
        <f t="shared" si="10"/>
        <v>1.07</v>
      </c>
      <c r="F41" s="83">
        <v>0</v>
      </c>
      <c r="G41" s="83">
        <v>2375</v>
      </c>
      <c r="H41" s="74">
        <f t="shared" si="16"/>
        <v>0</v>
      </c>
      <c r="I41" s="74">
        <f t="shared" si="13"/>
        <v>914850.00000000012</v>
      </c>
      <c r="J41" s="82">
        <f t="shared" si="14"/>
        <v>2.1361542336921877</v>
      </c>
      <c r="K41" s="82">
        <f t="shared" si="15"/>
        <v>1.7789696563234243</v>
      </c>
      <c r="L41" s="74">
        <f t="shared" si="11"/>
        <v>0</v>
      </c>
      <c r="M41" s="75">
        <f t="shared" si="11"/>
        <v>3042038.1123130554</v>
      </c>
      <c r="N41" s="59">
        <f t="shared" si="12"/>
        <v>0</v>
      </c>
      <c r="O41" s="59">
        <f t="shared" si="12"/>
        <v>1710000</v>
      </c>
      <c r="V41" s="74">
        <f t="shared" si="6"/>
        <v>0</v>
      </c>
      <c r="W41" s="75">
        <f t="shared" si="7"/>
        <v>3043800</v>
      </c>
      <c r="X41" s="57">
        <f t="shared" si="0"/>
        <v>2.14</v>
      </c>
      <c r="Y41" s="57">
        <f t="shared" si="0"/>
        <v>1.78</v>
      </c>
    </row>
    <row r="42" spans="3:25" ht="12" customHeight="1" x14ac:dyDescent="0.3">
      <c r="C42" s="84" t="s">
        <v>69</v>
      </c>
      <c r="D42" s="81">
        <f t="shared" si="10"/>
        <v>744</v>
      </c>
      <c r="E42" s="82">
        <f t="shared" si="10"/>
        <v>1.34</v>
      </c>
      <c r="F42" s="83">
        <v>1112.5</v>
      </c>
      <c r="G42" s="83">
        <v>3925.8333333333335</v>
      </c>
      <c r="H42" s="74">
        <f t="shared" si="16"/>
        <v>554559</v>
      </c>
      <c r="I42" s="74">
        <f t="shared" si="13"/>
        <v>1956949.4000000001</v>
      </c>
      <c r="J42" s="82">
        <f t="shared" si="14"/>
        <v>2.6751838066799358</v>
      </c>
      <c r="K42" s="82">
        <f t="shared" si="15"/>
        <v>2.2278685415639146</v>
      </c>
      <c r="L42" s="74">
        <f t="shared" si="11"/>
        <v>2214249.6367889829</v>
      </c>
      <c r="M42" s="75">
        <f t="shared" si="11"/>
        <v>6507202.9935707133</v>
      </c>
      <c r="N42" s="59">
        <f t="shared" si="12"/>
        <v>827700</v>
      </c>
      <c r="O42" s="59">
        <f t="shared" si="12"/>
        <v>2920820</v>
      </c>
      <c r="V42" s="74">
        <f t="shared" si="6"/>
        <v>2218236</v>
      </c>
      <c r="W42" s="75">
        <f t="shared" si="7"/>
        <v>6513428.5999999996</v>
      </c>
      <c r="X42" s="57">
        <f t="shared" si="0"/>
        <v>2.68</v>
      </c>
      <c r="Y42" s="57">
        <f t="shared" si="0"/>
        <v>2.23</v>
      </c>
    </row>
    <row r="43" spans="3:25" ht="12" customHeight="1" x14ac:dyDescent="0.3">
      <c r="C43" s="84" t="s">
        <v>70</v>
      </c>
      <c r="D43" s="81">
        <f t="shared" si="10"/>
        <v>720</v>
      </c>
      <c r="E43" s="82">
        <f t="shared" si="10"/>
        <v>1.92</v>
      </c>
      <c r="F43" s="83">
        <v>3500</v>
      </c>
      <c r="G43" s="83">
        <v>0</v>
      </c>
      <c r="H43" s="74">
        <f t="shared" si="16"/>
        <v>2419199.9999999995</v>
      </c>
      <c r="I43" s="74">
        <f t="shared" si="13"/>
        <v>0</v>
      </c>
      <c r="J43" s="82">
        <f t="shared" si="14"/>
        <v>3.8330991856906542</v>
      </c>
      <c r="K43" s="82">
        <f t="shared" si="15"/>
        <v>3.1921698505990412</v>
      </c>
      <c r="L43" s="74">
        <f t="shared" si="11"/>
        <v>9659409.9479404483</v>
      </c>
      <c r="M43" s="75">
        <f t="shared" si="11"/>
        <v>0</v>
      </c>
      <c r="N43" s="59">
        <f t="shared" si="12"/>
        <v>2520000</v>
      </c>
      <c r="O43" s="59">
        <f t="shared" si="12"/>
        <v>0</v>
      </c>
      <c r="V43" s="74">
        <f t="shared" si="6"/>
        <v>9651600</v>
      </c>
      <c r="W43" s="75">
        <f t="shared" si="7"/>
        <v>0</v>
      </c>
      <c r="X43" s="57">
        <f t="shared" si="0"/>
        <v>3.83</v>
      </c>
      <c r="Y43" s="57">
        <f t="shared" si="0"/>
        <v>3.19</v>
      </c>
    </row>
    <row r="44" spans="3:25" ht="12" customHeight="1" x14ac:dyDescent="0.3">
      <c r="C44" s="84" t="s">
        <v>71</v>
      </c>
      <c r="D44" s="81">
        <f t="shared" si="10"/>
        <v>744</v>
      </c>
      <c r="E44" s="82">
        <f t="shared" si="10"/>
        <v>2.7</v>
      </c>
      <c r="F44" s="83">
        <v>7291.666666666667</v>
      </c>
      <c r="G44" s="83">
        <v>14.583333333333334</v>
      </c>
      <c r="H44" s="74">
        <f t="shared" si="16"/>
        <v>7323750.0000000009</v>
      </c>
      <c r="I44" s="74">
        <f t="shared" si="13"/>
        <v>14647.500000000002</v>
      </c>
      <c r="J44" s="82">
        <f t="shared" si="14"/>
        <v>5.390295729877483</v>
      </c>
      <c r="K44" s="82">
        <f t="shared" si="15"/>
        <v>4.4889888524049022</v>
      </c>
      <c r="L44" s="74">
        <f t="shared" si="11"/>
        <v>29242354.334585346</v>
      </c>
      <c r="M44" s="75">
        <f t="shared" si="11"/>
        <v>48705.529048593191</v>
      </c>
      <c r="N44" s="59">
        <f t="shared" si="12"/>
        <v>5425000</v>
      </c>
      <c r="O44" s="59">
        <f t="shared" si="12"/>
        <v>10850</v>
      </c>
      <c r="V44" s="74">
        <f t="shared" si="6"/>
        <v>29240750</v>
      </c>
      <c r="W44" s="75">
        <f t="shared" si="7"/>
        <v>48716.5</v>
      </c>
      <c r="X44" s="57">
        <f t="shared" si="0"/>
        <v>5.39</v>
      </c>
      <c r="Y44" s="57">
        <f t="shared" si="0"/>
        <v>4.49</v>
      </c>
    </row>
    <row r="45" spans="3:25" ht="12" customHeight="1" x14ac:dyDescent="0.3">
      <c r="C45" s="84" t="s">
        <v>72</v>
      </c>
      <c r="D45" s="81">
        <f t="shared" si="10"/>
        <v>744</v>
      </c>
      <c r="E45" s="82">
        <f t="shared" si="10"/>
        <v>2.98</v>
      </c>
      <c r="F45" s="83">
        <v>5937.5</v>
      </c>
      <c r="G45" s="83">
        <v>0</v>
      </c>
      <c r="H45" s="74">
        <f t="shared" si="16"/>
        <v>6582075</v>
      </c>
      <c r="I45" s="74">
        <f t="shared" si="13"/>
        <v>0</v>
      </c>
      <c r="J45" s="82">
        <f t="shared" si="14"/>
        <v>5.9492893611240358</v>
      </c>
      <c r="K45" s="82">
        <f t="shared" si="15"/>
        <v>4.9545136222839288</v>
      </c>
      <c r="L45" s="74">
        <f t="shared" si="11"/>
        <v>26280985.752765428</v>
      </c>
      <c r="M45" s="75">
        <f t="shared" si="11"/>
        <v>0</v>
      </c>
      <c r="N45" s="59">
        <f t="shared" si="12"/>
        <v>4417500</v>
      </c>
      <c r="O45" s="59">
        <f t="shared" si="12"/>
        <v>0</v>
      </c>
      <c r="P45" s="57" t="s">
        <v>73</v>
      </c>
      <c r="V45" s="74">
        <f t="shared" si="6"/>
        <v>26284125</v>
      </c>
      <c r="W45" s="75">
        <f t="shared" si="7"/>
        <v>0</v>
      </c>
      <c r="X45" s="57">
        <f t="shared" si="0"/>
        <v>5.95</v>
      </c>
      <c r="Y45" s="57">
        <f t="shared" si="0"/>
        <v>4.95</v>
      </c>
    </row>
    <row r="46" spans="3:25" ht="12" customHeight="1" x14ac:dyDescent="0.3">
      <c r="C46" s="84" t="s">
        <v>74</v>
      </c>
      <c r="D46" s="81">
        <f t="shared" si="10"/>
        <v>672</v>
      </c>
      <c r="E46" s="82">
        <f t="shared" si="10"/>
        <v>1.97</v>
      </c>
      <c r="F46" s="83">
        <v>3629.1666666666665</v>
      </c>
      <c r="G46" s="83">
        <v>0</v>
      </c>
      <c r="H46" s="74">
        <f t="shared" si="16"/>
        <v>2402217.9999999995</v>
      </c>
      <c r="I46" s="74">
        <f t="shared" si="13"/>
        <v>0</v>
      </c>
      <c r="J46" s="82">
        <f t="shared" si="14"/>
        <v>3.9329194769846816</v>
      </c>
      <c r="K46" s="82">
        <f t="shared" si="15"/>
        <v>3.2752992737917248</v>
      </c>
      <c r="L46" s="74">
        <f t="shared" si="11"/>
        <v>9591604.0204702411</v>
      </c>
      <c r="M46" s="75">
        <f t="shared" si="11"/>
        <v>0</v>
      </c>
      <c r="N46" s="59">
        <f t="shared" si="12"/>
        <v>2438800</v>
      </c>
      <c r="O46" s="59">
        <f t="shared" si="12"/>
        <v>0</v>
      </c>
      <c r="V46" s="74">
        <f t="shared" si="6"/>
        <v>9584484</v>
      </c>
      <c r="W46" s="75">
        <f t="shared" si="7"/>
        <v>0</v>
      </c>
      <c r="X46" s="57">
        <f t="shared" si="0"/>
        <v>3.93</v>
      </c>
      <c r="Y46" s="57">
        <f t="shared" si="0"/>
        <v>3.28</v>
      </c>
    </row>
    <row r="47" spans="3:25" ht="12" customHeight="1" x14ac:dyDescent="0.3">
      <c r="C47" s="84" t="s">
        <v>75</v>
      </c>
      <c r="D47" s="81">
        <f t="shared" si="10"/>
        <v>744</v>
      </c>
      <c r="E47" s="82">
        <f t="shared" si="10"/>
        <v>1.64</v>
      </c>
      <c r="F47" s="83">
        <v>875</v>
      </c>
      <c r="G47" s="83">
        <v>41.666666666666664</v>
      </c>
      <c r="H47" s="74">
        <f t="shared" si="16"/>
        <v>533819.99999999988</v>
      </c>
      <c r="I47" s="74">
        <f t="shared" si="13"/>
        <v>25419.999999999996</v>
      </c>
      <c r="J47" s="82">
        <f t="shared" si="14"/>
        <v>3.2741055544441005</v>
      </c>
      <c r="K47" s="82">
        <f t="shared" si="15"/>
        <v>2.7266450807200142</v>
      </c>
      <c r="L47" s="74">
        <f t="shared" si="11"/>
        <v>2131442.7159431092</v>
      </c>
      <c r="M47" s="75">
        <f t="shared" si="11"/>
        <v>84525.997502320446</v>
      </c>
      <c r="N47" s="59">
        <f t="shared" si="12"/>
        <v>651000</v>
      </c>
      <c r="O47" s="59">
        <f t="shared" si="12"/>
        <v>31000</v>
      </c>
      <c r="V47" s="74">
        <f t="shared" si="6"/>
        <v>2128770</v>
      </c>
      <c r="W47" s="75">
        <f t="shared" si="7"/>
        <v>84630</v>
      </c>
      <c r="X47" s="57">
        <f t="shared" si="0"/>
        <v>3.27</v>
      </c>
      <c r="Y47" s="57">
        <f t="shared" si="0"/>
        <v>2.73</v>
      </c>
    </row>
    <row r="48" spans="3:25" ht="12" customHeight="1" thickBot="1" x14ac:dyDescent="0.35">
      <c r="C48" s="85" t="s">
        <v>26</v>
      </c>
      <c r="D48" s="86"/>
      <c r="E48" s="87"/>
      <c r="F48" s="88"/>
      <c r="G48" s="88"/>
      <c r="H48" s="88">
        <f>SUM(H10:H47)</f>
        <v>175345817.30000001</v>
      </c>
      <c r="I48" s="88">
        <f>SUM(I10:I47)</f>
        <v>210552051.10115391</v>
      </c>
      <c r="J48" s="87"/>
      <c r="K48" s="87"/>
      <c r="L48" s="88">
        <f>SUM(L10:L47)</f>
        <v>700122822.40301299</v>
      </c>
      <c r="M48" s="88">
        <f>SUM(M10:M47)</f>
        <v>700122822.40301251</v>
      </c>
      <c r="N48" s="88">
        <f>SUM(N10:N47)</f>
        <v>165800005</v>
      </c>
      <c r="O48" s="88">
        <f>SUM(O10:O47)</f>
        <v>172942822.473618</v>
      </c>
      <c r="Q48" s="88">
        <f>SUM(Q10:Q29)</f>
        <v>292911645.28961802</v>
      </c>
      <c r="V48" s="88">
        <f>SUM(V10:V47)</f>
        <v>699301624.20000005</v>
      </c>
      <c r="W48" s="88">
        <f>SUM(W10:W47)</f>
        <v>700452937.49324536</v>
      </c>
    </row>
    <row r="49" spans="2:23" ht="12" customHeight="1" thickTop="1" x14ac:dyDescent="0.3">
      <c r="C49" s="89" t="s">
        <v>76</v>
      </c>
      <c r="D49" s="90"/>
      <c r="F49" s="59">
        <f>F15*$D$15*$D$73+F16*$D$16*$D$74</f>
        <v>867033</v>
      </c>
      <c r="G49" s="59">
        <f>G15*$D$15*$D$73+G16*$D$16*$D$74</f>
        <v>8802458.4229138978</v>
      </c>
      <c r="J49" s="58"/>
      <c r="K49" s="58"/>
      <c r="L49" s="58"/>
      <c r="M49" s="57">
        <f>M48+L48</f>
        <v>1400245644.8060255</v>
      </c>
      <c r="O49" s="59">
        <f>N48-O48</f>
        <v>-7142817.4736180007</v>
      </c>
      <c r="Q49" s="91">
        <v>1.0608134831807217</v>
      </c>
      <c r="W49" s="59">
        <f>V48+W48</f>
        <v>1399754561.6932454</v>
      </c>
    </row>
    <row r="50" spans="2:23" ht="12" customHeight="1" x14ac:dyDescent="0.3">
      <c r="C50" s="89" t="s">
        <v>77</v>
      </c>
      <c r="D50" s="90"/>
      <c r="F50" s="59">
        <f>(F32*$D$32*$E$32+F33*$D$33*$E$33)*E12</f>
        <v>0</v>
      </c>
      <c r="G50" s="59">
        <f>(G32*$D$32*E32+G33*$D$33*E33)*E12</f>
        <v>2714027</v>
      </c>
      <c r="H50" s="92">
        <v>208024706.07999995</v>
      </c>
      <c r="I50" s="92">
        <v>240646277.84000003</v>
      </c>
      <c r="J50" s="58"/>
      <c r="K50" s="58"/>
      <c r="L50" s="58"/>
      <c r="M50" s="58"/>
      <c r="N50" s="57">
        <f>L48/N48</f>
        <v>4.2226948208054216</v>
      </c>
      <c r="Q50" s="91"/>
      <c r="W50" s="59">
        <f>W49-L48-M48</f>
        <v>-491083.11278009415</v>
      </c>
    </row>
    <row r="51" spans="2:23" ht="12" customHeight="1" x14ac:dyDescent="0.3">
      <c r="C51" s="89" t="s">
        <v>78</v>
      </c>
      <c r="D51" s="90"/>
      <c r="F51" s="59">
        <f>(F17*$D$17)*$D$71+(F18*$D$18)*$D$72</f>
        <v>1571924.0000000009</v>
      </c>
      <c r="G51" s="59">
        <f>(G17*$D$17)*$D$71+(G18*$D$18)*$D$72</f>
        <v>52446816</v>
      </c>
      <c r="H51" s="93">
        <f>H48/H50</f>
        <v>0.84290861698209718</v>
      </c>
      <c r="I51" s="93">
        <f>I48/I50</f>
        <v>0.874944142045467</v>
      </c>
      <c r="L51" s="94">
        <f>L48-F4*1000</f>
        <v>0</v>
      </c>
      <c r="M51" s="94">
        <f>M48-G4*1000</f>
        <v>0</v>
      </c>
    </row>
    <row r="52" spans="2:23" ht="12" customHeight="1" x14ac:dyDescent="0.3">
      <c r="C52" s="89" t="s">
        <v>79</v>
      </c>
      <c r="D52" s="90"/>
      <c r="F52" s="59">
        <f>((F34*$D$34)*$E$34+(F35*$D$35)*$E$35)*E12</f>
        <v>10600090</v>
      </c>
      <c r="G52" s="59">
        <f>((G34*$D$34)*$E$34+(G35*$D$35)*$E$35)*E12</f>
        <v>8076.7782400000006</v>
      </c>
      <c r="H52" s="79">
        <f>H50/H48</f>
        <v>1.1863682252773071</v>
      </c>
      <c r="I52" s="79">
        <f>I50/I48</f>
        <v>1.1429301048432352</v>
      </c>
      <c r="L52" s="94"/>
      <c r="M52" s="94"/>
    </row>
    <row r="53" spans="2:23" ht="12" customHeight="1" x14ac:dyDescent="0.3">
      <c r="C53" s="89" t="s">
        <v>80</v>
      </c>
      <c r="D53" s="90"/>
      <c r="F53" s="59">
        <f>F19*$D$19*$D$82+F20*$D$20*$D$83+F21*$D$21*$D$84+F22*$D$22*$D$85+F23*$D$23*$D$86+F24*$D$24*$D$87</f>
        <v>6597252</v>
      </c>
      <c r="G53" s="59">
        <f>G19*$D$19*$D$82+G20*$D$20*$D$83+G21*$D$21*$D$84+G22*$D$22*$D$85+G23*$D$23*$D$86+G24*$D$24*$D$87</f>
        <v>2305332</v>
      </c>
      <c r="H53" s="60">
        <f>1-H51</f>
        <v>0.15709138301790282</v>
      </c>
      <c r="I53" s="60">
        <f>1-I51</f>
        <v>0.125055857954533</v>
      </c>
      <c r="O53" s="59">
        <f>SUM(H48:I48)</f>
        <v>385897868.40115392</v>
      </c>
      <c r="P53" s="59">
        <v>361998751.26411998</v>
      </c>
      <c r="Q53" s="91">
        <f>O53/P53-1</f>
        <v>6.6019888338224586E-2</v>
      </c>
    </row>
    <row r="54" spans="2:23" ht="12" customHeight="1" x14ac:dyDescent="0.3">
      <c r="C54" s="89" t="s">
        <v>81</v>
      </c>
      <c r="D54" s="90"/>
      <c r="F54" s="59">
        <f>(F36*$D$36*$E$36+F37*$D$37*$E$37+F38*$D$38*$E$38+F39*$D$39*$E$39+F40*$D$40*$E$40+F41*$D$41*$E$41)*E12</f>
        <v>455781.3</v>
      </c>
      <c r="G54" s="59">
        <f>(G36*$D$36*$E$36+G37*$D$37*$E$37+G38*$D$38*$E$38+G39*$D$39*$E$39+G40*$D$40*$E$40+G41*$D$41*$E$41)*E12</f>
        <v>3637094</v>
      </c>
      <c r="H54" s="59">
        <f>H53*H50</f>
        <v>32678888.77999993</v>
      </c>
      <c r="I54" s="59">
        <f>I53*I50</f>
        <v>30094226.738846127</v>
      </c>
      <c r="Q54" s="91"/>
    </row>
    <row r="55" spans="2:23" ht="12" customHeight="1" x14ac:dyDescent="0.3">
      <c r="C55" s="89" t="s">
        <v>82</v>
      </c>
      <c r="D55" s="90"/>
      <c r="F55" s="59">
        <f>F25*$D$25*$D$76+F26*$D$26*$D$77+F27*$D$27*$D$78+F28*$D$28*$D$79+F29*$D$29*$D$80+F30*$D$30*$D$81</f>
        <v>14121239.999999998</v>
      </c>
      <c r="G55" s="59">
        <f>G25*$D$25*$D$76+G26*$D$26*$D$77+G27*$D$27*$D$78+G28*$D$28*$D$79+G29*$D$29*$D$80+G30*$D$30*$D$81</f>
        <v>42883480</v>
      </c>
      <c r="H55" s="59">
        <f>H50-H54</f>
        <v>175345817.30000001</v>
      </c>
      <c r="I55" s="59">
        <f>I50-I54</f>
        <v>210552051.10115391</v>
      </c>
    </row>
    <row r="56" spans="2:23" ht="12" customHeight="1" x14ac:dyDescent="0.3">
      <c r="C56" s="89" t="s">
        <v>83</v>
      </c>
      <c r="D56" s="90"/>
      <c r="F56" s="59">
        <f>(F42*$D$42*$E$42+F43*$D$43*$E$43+F44*$D$44*$E$44+F45*$D$45*$E$45+F46*$D$46*$E$46+F47*$D$47*$E$47)*E12</f>
        <v>19815622</v>
      </c>
      <c r="G56" s="59">
        <f>(G42*$D$42*$E$42+G43*$D$43*$E$43+G44*$D$44*$E$44+G45*$D$45*$E$45+G46*$D$46*$E$46+G47*$D$47*$E$47)*E12</f>
        <v>1997016.9000000001</v>
      </c>
    </row>
    <row r="57" spans="2:23" ht="12" customHeight="1" x14ac:dyDescent="0.3">
      <c r="C57" s="89" t="s">
        <v>84</v>
      </c>
      <c r="D57" s="90"/>
      <c r="H57" s="92">
        <v>148492585</v>
      </c>
      <c r="I57" s="92">
        <v>115189985</v>
      </c>
    </row>
    <row r="58" spans="2:23" ht="12" customHeight="1" x14ac:dyDescent="0.3">
      <c r="C58" s="89" t="s">
        <v>85</v>
      </c>
      <c r="D58" s="90"/>
      <c r="H58" s="60">
        <f>H10/H57</f>
        <v>0.81557607741827642</v>
      </c>
      <c r="I58" s="60">
        <f>I10/I57</f>
        <v>0.83082743695122452</v>
      </c>
    </row>
    <row r="59" spans="2:23" ht="12" customHeight="1" x14ac:dyDescent="0.3">
      <c r="C59" s="58" t="s">
        <v>86</v>
      </c>
      <c r="F59" s="59">
        <f>SUM(F49:F58)</f>
        <v>54028942.299999997</v>
      </c>
      <c r="G59" s="59">
        <f>SUM(G49:G58)</f>
        <v>114794301.10115391</v>
      </c>
    </row>
    <row r="60" spans="2:23" ht="12" customHeight="1" x14ac:dyDescent="0.3">
      <c r="F60" s="59">
        <f>F10*D10+F11*D11*E11</f>
        <v>121316875</v>
      </c>
      <c r="G60" s="59">
        <f>G10*D10+G12*D12*E12</f>
        <v>95757750</v>
      </c>
    </row>
    <row r="61" spans="2:23" ht="15.9" customHeight="1" x14ac:dyDescent="0.35">
      <c r="B61" s="95" t="s">
        <v>87</v>
      </c>
      <c r="C61" s="96"/>
      <c r="D61" s="97"/>
      <c r="E61" s="97"/>
      <c r="F61" s="97" t="s">
        <v>73</v>
      </c>
      <c r="G61" s="97" t="s">
        <v>73</v>
      </c>
      <c r="H61" s="97"/>
      <c r="I61" s="97"/>
      <c r="J61" s="98" t="s">
        <v>88</v>
      </c>
    </row>
    <row r="62" spans="2:23" ht="15.9" customHeight="1" x14ac:dyDescent="0.35">
      <c r="B62" s="95"/>
      <c r="C62" s="96"/>
      <c r="D62" s="97"/>
      <c r="E62" s="97"/>
      <c r="F62" s="97"/>
      <c r="G62" s="97"/>
      <c r="H62" s="97"/>
      <c r="I62" s="97"/>
      <c r="J62" s="98"/>
    </row>
    <row r="63" spans="2:23" ht="12" customHeight="1" x14ac:dyDescent="0.35">
      <c r="B63" s="221" t="s">
        <v>89</v>
      </c>
      <c r="C63" s="221"/>
      <c r="D63" s="221"/>
      <c r="E63" s="221"/>
      <c r="F63" s="221"/>
      <c r="G63" s="221"/>
      <c r="H63" s="221"/>
      <c r="I63" s="221"/>
      <c r="J63" s="221"/>
      <c r="T63" s="222" t="s">
        <v>90</v>
      </c>
      <c r="U63" s="222"/>
    </row>
    <row r="64" spans="2:23" ht="12" customHeight="1" thickBot="1" x14ac:dyDescent="0.35">
      <c r="T64" s="99">
        <v>0.58175921429418875</v>
      </c>
      <c r="U64" s="99">
        <v>0.58175921429418875</v>
      </c>
    </row>
    <row r="65" spans="2:21" ht="40.799999999999997" thickTop="1" thickBot="1" x14ac:dyDescent="0.35">
      <c r="B65" s="100" t="s">
        <v>91</v>
      </c>
      <c r="C65" s="101" t="s">
        <v>92</v>
      </c>
      <c r="D65" s="102" t="s">
        <v>93</v>
      </c>
      <c r="E65" s="103" t="s">
        <v>94</v>
      </c>
      <c r="F65" s="104" t="s">
        <v>95</v>
      </c>
      <c r="G65" s="104" t="s">
        <v>96</v>
      </c>
      <c r="H65" s="104" t="s">
        <v>94</v>
      </c>
      <c r="I65" s="104" t="s">
        <v>95</v>
      </c>
      <c r="J65" s="105" t="s">
        <v>96</v>
      </c>
      <c r="O65" s="223" t="s">
        <v>97</v>
      </c>
      <c r="P65" s="223"/>
      <c r="R65" s="223" t="s">
        <v>98</v>
      </c>
      <c r="S65" s="223"/>
      <c r="T65" s="223" t="s">
        <v>99</v>
      </c>
      <c r="U65" s="223"/>
    </row>
    <row r="66" spans="2:21" ht="13.2" x14ac:dyDescent="0.3">
      <c r="B66" s="106">
        <v>1</v>
      </c>
      <c r="C66" s="107" t="s">
        <v>100</v>
      </c>
      <c r="D66" s="108">
        <v>1</v>
      </c>
      <c r="E66" s="109" t="s">
        <v>101</v>
      </c>
      <c r="F66" s="110">
        <f>F4/(F10*D10+F11*D11*E11+F59)*1000</f>
        <v>3.9928116517610981</v>
      </c>
      <c r="G66" s="111">
        <f>G4/(G10*D10+G12*D12*E12+G59)*1000</f>
        <v>3.3251769277073349</v>
      </c>
      <c r="H66" s="111" t="s">
        <v>102</v>
      </c>
      <c r="I66" s="110">
        <f t="shared" ref="I66:J69" si="17">F66*$D$10</f>
        <v>34977.030069427223</v>
      </c>
      <c r="J66" s="112">
        <f t="shared" si="17"/>
        <v>29128.549886716253</v>
      </c>
      <c r="L66" s="113">
        <f>F66-J10</f>
        <v>0</v>
      </c>
      <c r="M66" s="113">
        <f>G66-K10</f>
        <v>0</v>
      </c>
      <c r="O66" s="57">
        <v>1.8650697572669137</v>
      </c>
      <c r="P66" s="57">
        <v>1.4858678547012503</v>
      </c>
      <c r="R66" s="57">
        <v>2.1277418944941844</v>
      </c>
      <c r="S66" s="57">
        <v>1.8393090730060846</v>
      </c>
      <c r="T66" s="60">
        <f t="shared" ref="T66:U69" si="18">F66/R66-1</f>
        <v>0.87654887187822461</v>
      </c>
      <c r="U66" s="60">
        <f t="shared" si="18"/>
        <v>0.8078402246300096</v>
      </c>
    </row>
    <row r="67" spans="2:21" ht="13.2" x14ac:dyDescent="0.3">
      <c r="B67" s="114">
        <f>B66+1</f>
        <v>2</v>
      </c>
      <c r="C67" s="115" t="s">
        <v>103</v>
      </c>
      <c r="D67" s="116">
        <v>0.5</v>
      </c>
      <c r="E67" s="117" t="s">
        <v>101</v>
      </c>
      <c r="F67" s="118">
        <f>F66*D67</f>
        <v>1.996405825880549</v>
      </c>
      <c r="G67" s="119">
        <f>G66*D67</f>
        <v>1.6625884638536674</v>
      </c>
      <c r="H67" s="119" t="s">
        <v>102</v>
      </c>
      <c r="I67" s="118">
        <f t="shared" si="17"/>
        <v>17488.515034713611</v>
      </c>
      <c r="J67" s="120">
        <f t="shared" si="17"/>
        <v>14564.274943358127</v>
      </c>
      <c r="L67" s="113">
        <f>F67-J11</f>
        <v>0</v>
      </c>
      <c r="M67" s="113">
        <f>G67-K12</f>
        <v>0</v>
      </c>
      <c r="O67" s="57">
        <v>0.93253487863345685</v>
      </c>
      <c r="P67" s="57">
        <v>0.74293392735062513</v>
      </c>
      <c r="R67" s="57">
        <v>1.0638709472470922</v>
      </c>
      <c r="S67" s="57">
        <v>0.9196545365030423</v>
      </c>
      <c r="T67" s="60">
        <f t="shared" si="18"/>
        <v>0.87654887187822461</v>
      </c>
      <c r="U67" s="60">
        <f t="shared" si="18"/>
        <v>0.8078402246300096</v>
      </c>
    </row>
    <row r="68" spans="2:21" ht="13.2" x14ac:dyDescent="0.3">
      <c r="B68" s="114">
        <f t="shared" ref="B68:B131" si="19">B67+1</f>
        <v>3</v>
      </c>
      <c r="C68" s="115" t="s">
        <v>104</v>
      </c>
      <c r="D68" s="116">
        <v>1</v>
      </c>
      <c r="E68" s="117" t="s">
        <v>101</v>
      </c>
      <c r="F68" s="118">
        <f t="shared" ref="F68:F100" si="20">$F$66*D68</f>
        <v>3.9928116517610981</v>
      </c>
      <c r="G68" s="118">
        <f t="shared" ref="G68:G100" si="21">$G$66*D68</f>
        <v>3.3251769277073349</v>
      </c>
      <c r="H68" s="119" t="s">
        <v>102</v>
      </c>
      <c r="I68" s="118">
        <f t="shared" si="17"/>
        <v>34977.030069427223</v>
      </c>
      <c r="J68" s="120">
        <f t="shared" si="17"/>
        <v>29128.549886716253</v>
      </c>
      <c r="L68" s="113">
        <f>J10-F68</f>
        <v>0</v>
      </c>
      <c r="M68" s="113">
        <f>K10-G68</f>
        <v>0</v>
      </c>
      <c r="O68" s="57">
        <v>1.8650697572669137</v>
      </c>
      <c r="P68" s="57">
        <v>1.4858678547012503</v>
      </c>
      <c r="R68" s="57">
        <v>2.1277418944941844</v>
      </c>
      <c r="S68" s="57">
        <v>1.8393090730060846</v>
      </c>
      <c r="T68" s="60">
        <f t="shared" si="18"/>
        <v>0.87654887187822461</v>
      </c>
      <c r="U68" s="60">
        <f t="shared" si="18"/>
        <v>0.8078402246300096</v>
      </c>
    </row>
    <row r="69" spans="2:21" ht="13.8" thickBot="1" x14ac:dyDescent="0.35">
      <c r="B69" s="121">
        <f t="shared" si="19"/>
        <v>4</v>
      </c>
      <c r="C69" s="122" t="s">
        <v>105</v>
      </c>
      <c r="D69" s="123">
        <f>D67</f>
        <v>0.5</v>
      </c>
      <c r="E69" s="124" t="s">
        <v>101</v>
      </c>
      <c r="F69" s="125">
        <f>F67</f>
        <v>1.996405825880549</v>
      </c>
      <c r="G69" s="125">
        <f>G67</f>
        <v>1.6625884638536674</v>
      </c>
      <c r="H69" s="126" t="s">
        <v>102</v>
      </c>
      <c r="I69" s="125">
        <f t="shared" si="17"/>
        <v>17488.515034713611</v>
      </c>
      <c r="J69" s="127">
        <f t="shared" si="17"/>
        <v>14564.274943358127</v>
      </c>
      <c r="L69" s="113">
        <f>F69-J11</f>
        <v>0</v>
      </c>
      <c r="M69" s="113">
        <f>G69-K12</f>
        <v>0</v>
      </c>
      <c r="O69" s="57">
        <v>0.93253487863345685</v>
      </c>
      <c r="P69" s="57">
        <v>0.74293392735062513</v>
      </c>
      <c r="R69" s="57">
        <v>1.0638709472470922</v>
      </c>
      <c r="S69" s="57">
        <v>0.9196545365030423</v>
      </c>
      <c r="T69" s="60">
        <f t="shared" si="18"/>
        <v>0.87654887187822461</v>
      </c>
      <c r="U69" s="60">
        <f t="shared" si="18"/>
        <v>0.8078402246300096</v>
      </c>
    </row>
    <row r="70" spans="2:21" ht="13.8" thickBot="1" x14ac:dyDescent="0.35">
      <c r="B70" s="207" t="s">
        <v>106</v>
      </c>
      <c r="C70" s="208"/>
      <c r="D70" s="208"/>
      <c r="E70" s="208"/>
      <c r="F70" s="208"/>
      <c r="G70" s="208"/>
      <c r="H70" s="208"/>
      <c r="I70" s="208"/>
      <c r="J70" s="209"/>
      <c r="L70" s="113"/>
      <c r="M70" s="113"/>
    </row>
    <row r="71" spans="2:21" ht="13.2" x14ac:dyDescent="0.3">
      <c r="B71" s="106">
        <f>B69+1</f>
        <v>5</v>
      </c>
      <c r="C71" s="107" t="s">
        <v>107</v>
      </c>
      <c r="D71" s="108">
        <v>1.72</v>
      </c>
      <c r="E71" s="109" t="s">
        <v>101</v>
      </c>
      <c r="F71" s="110">
        <f t="shared" si="20"/>
        <v>6.8676360410290886</v>
      </c>
      <c r="G71" s="110">
        <f t="shared" si="21"/>
        <v>5.7193043156566157</v>
      </c>
      <c r="H71" s="110" t="s">
        <v>108</v>
      </c>
      <c r="I71" s="110">
        <f>F71*$D$17</f>
        <v>15163.740378592227</v>
      </c>
      <c r="J71" s="112">
        <f>G71*$D$17</f>
        <v>12628.223928969808</v>
      </c>
      <c r="K71" s="128">
        <f>F66*D71</f>
        <v>6.8676360410290886</v>
      </c>
      <c r="L71" s="113">
        <f>F71-J17</f>
        <v>0</v>
      </c>
      <c r="M71" s="113">
        <f>G71-K17</f>
        <v>0</v>
      </c>
      <c r="O71" s="57">
        <v>3.3568619151136847</v>
      </c>
      <c r="P71" s="57">
        <v>2.6844443451965763</v>
      </c>
      <c r="R71" s="57">
        <v>3.5107741259154039</v>
      </c>
      <c r="S71" s="57">
        <v>3.0348599704600394</v>
      </c>
      <c r="T71" s="60">
        <f t="shared" ref="T71:U74" si="22">F71/R71-1</f>
        <v>0.95616003613972511</v>
      </c>
      <c r="U71" s="60">
        <f t="shared" si="22"/>
        <v>0.88453647658401002</v>
      </c>
    </row>
    <row r="72" spans="2:21" s="59" customFormat="1" ht="13.2" x14ac:dyDescent="0.3">
      <c r="B72" s="114">
        <f t="shared" si="19"/>
        <v>6</v>
      </c>
      <c r="C72" s="115" t="s">
        <v>109</v>
      </c>
      <c r="D72" s="116">
        <v>1.9</v>
      </c>
      <c r="E72" s="117" t="s">
        <v>101</v>
      </c>
      <c r="F72" s="118">
        <f t="shared" si="20"/>
        <v>7.5863421383460858</v>
      </c>
      <c r="G72" s="118">
        <f t="shared" si="21"/>
        <v>6.3178361626439363</v>
      </c>
      <c r="H72" s="118" t="s">
        <v>108</v>
      </c>
      <c r="I72" s="118">
        <f>F72*$D$18</f>
        <v>16386.499018827544</v>
      </c>
      <c r="J72" s="120">
        <f>G72*$D$18</f>
        <v>13646.526111310903</v>
      </c>
      <c r="L72" s="113">
        <f>F72-J18</f>
        <v>0</v>
      </c>
      <c r="M72" s="113">
        <f>G72-K18</f>
        <v>0</v>
      </c>
      <c r="O72" s="57">
        <v>3.1819164167431246</v>
      </c>
      <c r="P72" s="57">
        <v>2.5104663815213417</v>
      </c>
      <c r="R72" s="57">
        <v>4.4044257216029612</v>
      </c>
      <c r="S72" s="57">
        <v>3.8073697811225946</v>
      </c>
      <c r="T72" s="60">
        <f t="shared" si="22"/>
        <v>0.7224361625935396</v>
      </c>
      <c r="U72" s="60">
        <f t="shared" si="22"/>
        <v>0.65937025449131359</v>
      </c>
    </row>
    <row r="73" spans="2:21" s="59" customFormat="1" ht="13.2" x14ac:dyDescent="0.3">
      <c r="B73" s="114">
        <f t="shared" si="19"/>
        <v>7</v>
      </c>
      <c r="C73" s="115" t="s">
        <v>110</v>
      </c>
      <c r="D73" s="116">
        <v>0.71</v>
      </c>
      <c r="E73" s="117" t="s">
        <v>101</v>
      </c>
      <c r="F73" s="118">
        <f>$F$66*D73</f>
        <v>2.8348962727503797</v>
      </c>
      <c r="G73" s="118">
        <f>$G$66*D73</f>
        <v>2.3608756186722077</v>
      </c>
      <c r="H73" s="118" t="s">
        <v>108</v>
      </c>
      <c r="I73" s="118">
        <f>F73*$D$15</f>
        <v>6191.4134596868289</v>
      </c>
      <c r="J73" s="120">
        <f>G73*$D$15</f>
        <v>5156.1523511801015</v>
      </c>
      <c r="L73" s="113">
        <f>F73-J15</f>
        <v>0</v>
      </c>
      <c r="M73" s="113">
        <f>G73-K15</f>
        <v>0</v>
      </c>
      <c r="O73" s="57">
        <v>1.2816446897696252</v>
      </c>
      <c r="P73" s="57">
        <v>1.0181799953777659</v>
      </c>
      <c r="R73" s="57">
        <v>1.5532515829807545</v>
      </c>
      <c r="S73" s="57">
        <v>1.3426956232944418</v>
      </c>
      <c r="T73" s="60">
        <f t="shared" si="22"/>
        <v>0.82513657401854745</v>
      </c>
      <c r="U73" s="60">
        <f t="shared" si="22"/>
        <v>0.75831035546206405</v>
      </c>
    </row>
    <row r="74" spans="2:21" s="59" customFormat="1" ht="13.8" thickBot="1" x14ac:dyDescent="0.35">
      <c r="B74" s="121">
        <f t="shared" si="19"/>
        <v>8</v>
      </c>
      <c r="C74" s="122" t="s">
        <v>111</v>
      </c>
      <c r="D74" s="123">
        <v>0.87</v>
      </c>
      <c r="E74" s="124" t="s">
        <v>101</v>
      </c>
      <c r="F74" s="125">
        <f>$F$66*D74</f>
        <v>3.4737461370321552</v>
      </c>
      <c r="G74" s="125">
        <f>$G$66*D74</f>
        <v>2.8929039271053814</v>
      </c>
      <c r="H74" s="125" t="s">
        <v>108</v>
      </c>
      <c r="I74" s="125">
        <f>F74*$D$16</f>
        <v>7670.0314705669989</v>
      </c>
      <c r="J74" s="127">
        <f>G74*$D$16</f>
        <v>6387.5318710486818</v>
      </c>
      <c r="L74" s="113">
        <f>F74-J16</f>
        <v>0</v>
      </c>
      <c r="M74" s="113">
        <f>G74-K16</f>
        <v>0</v>
      </c>
      <c r="O74" s="57">
        <v>1.8779397161615168</v>
      </c>
      <c r="P74" s="57">
        <v>1.513422122350818</v>
      </c>
      <c r="R74" s="57">
        <v>1.5958064208706384</v>
      </c>
      <c r="S74" s="57">
        <v>1.3794818047545634</v>
      </c>
      <c r="T74" s="60">
        <f t="shared" si="22"/>
        <v>1.1767966913787404</v>
      </c>
      <c r="U74" s="60">
        <f t="shared" si="22"/>
        <v>1.0970946605708112</v>
      </c>
    </row>
    <row r="75" spans="2:21" s="59" customFormat="1" ht="13.8" thickBot="1" x14ac:dyDescent="0.35">
      <c r="B75" s="207" t="s">
        <v>112</v>
      </c>
      <c r="C75" s="208"/>
      <c r="D75" s="208"/>
      <c r="E75" s="208"/>
      <c r="F75" s="208"/>
      <c r="G75" s="208"/>
      <c r="H75" s="208"/>
      <c r="I75" s="208"/>
      <c r="J75" s="209"/>
      <c r="L75" s="113"/>
      <c r="M75" s="113"/>
    </row>
    <row r="76" spans="2:21" s="59" customFormat="1" ht="13.2" x14ac:dyDescent="0.3">
      <c r="B76" s="106">
        <f>B74+1</f>
        <v>9</v>
      </c>
      <c r="C76" s="107" t="s">
        <v>113</v>
      </c>
      <c r="D76" s="108">
        <v>1.34</v>
      </c>
      <c r="E76" s="109" t="s">
        <v>101</v>
      </c>
      <c r="F76" s="110">
        <f t="shared" si="20"/>
        <v>5.3503676133598717</v>
      </c>
      <c r="G76" s="110">
        <f t="shared" si="21"/>
        <v>4.4557370831278291</v>
      </c>
      <c r="H76" s="110" t="s">
        <v>114</v>
      </c>
      <c r="I76" s="110">
        <f>F76*$D$25</f>
        <v>3980.6735043397443</v>
      </c>
      <c r="J76" s="112">
        <f>G76*$D$25</f>
        <v>3315.0683898471048</v>
      </c>
      <c r="L76" s="113">
        <f t="shared" ref="L76:M81" si="23">F76-J25</f>
        <v>0</v>
      </c>
      <c r="M76" s="113">
        <f t="shared" si="23"/>
        <v>0</v>
      </c>
      <c r="O76" s="57">
        <v>2.8821870157466178</v>
      </c>
      <c r="P76" s="57">
        <v>2.3221385584407712</v>
      </c>
      <c r="R76" s="57">
        <v>2.4681805976132538</v>
      </c>
      <c r="S76" s="57">
        <v>2.1335985246870579</v>
      </c>
      <c r="T76" s="60">
        <f t="shared" ref="T76:U87" si="24">F76/R76-1</f>
        <v>1.1677374899282942</v>
      </c>
      <c r="U76" s="60">
        <f t="shared" si="24"/>
        <v>1.0883671560381152</v>
      </c>
    </row>
    <row r="77" spans="2:21" s="59" customFormat="1" ht="13.2" x14ac:dyDescent="0.3">
      <c r="B77" s="114">
        <f t="shared" si="19"/>
        <v>10</v>
      </c>
      <c r="C77" s="115" t="s">
        <v>115</v>
      </c>
      <c r="D77" s="116">
        <v>1.92</v>
      </c>
      <c r="E77" s="117" t="s">
        <v>101</v>
      </c>
      <c r="F77" s="118">
        <f t="shared" si="20"/>
        <v>7.6661983713813084</v>
      </c>
      <c r="G77" s="118">
        <f t="shared" si="21"/>
        <v>6.3843397011980825</v>
      </c>
      <c r="H77" s="118" t="s">
        <v>114</v>
      </c>
      <c r="I77" s="118">
        <f>F77*$D$26</f>
        <v>5519.6628273945416</v>
      </c>
      <c r="J77" s="120">
        <f>G77*$D$26</f>
        <v>4596.7245848626189</v>
      </c>
      <c r="L77" s="113">
        <f t="shared" si="23"/>
        <v>0</v>
      </c>
      <c r="M77" s="113">
        <f t="shared" si="23"/>
        <v>0</v>
      </c>
      <c r="O77" s="57">
        <v>3.8362629612917765</v>
      </c>
      <c r="P77" s="57">
        <v>3.07358336978713</v>
      </c>
      <c r="R77" s="57">
        <v>3.829935410089532</v>
      </c>
      <c r="S77" s="57">
        <v>3.3107563314109525</v>
      </c>
      <c r="T77" s="60">
        <f t="shared" si="24"/>
        <v>1.0016521300034396</v>
      </c>
      <c r="U77" s="60">
        <f t="shared" si="24"/>
        <v>0.92836290627201001</v>
      </c>
    </row>
    <row r="78" spans="2:21" s="59" customFormat="1" ht="13.2" x14ac:dyDescent="0.3">
      <c r="B78" s="114">
        <f t="shared" si="19"/>
        <v>11</v>
      </c>
      <c r="C78" s="115" t="s">
        <v>116</v>
      </c>
      <c r="D78" s="116">
        <v>2.7</v>
      </c>
      <c r="E78" s="117" t="s">
        <v>101</v>
      </c>
      <c r="F78" s="118">
        <f t="shared" si="20"/>
        <v>10.780591459754966</v>
      </c>
      <c r="G78" s="118">
        <f t="shared" si="21"/>
        <v>8.9779777048098044</v>
      </c>
      <c r="H78" s="118" t="s">
        <v>114</v>
      </c>
      <c r="I78" s="118">
        <f>F78*$D$27</f>
        <v>8020.760046057695</v>
      </c>
      <c r="J78" s="120">
        <f>G78*$D$27</f>
        <v>6679.6154123784945</v>
      </c>
      <c r="L78" s="113">
        <f t="shared" si="23"/>
        <v>0</v>
      </c>
      <c r="M78" s="113">
        <f t="shared" si="23"/>
        <v>0</v>
      </c>
      <c r="O78" s="57">
        <v>4.9080238309510174</v>
      </c>
      <c r="P78" s="57">
        <v>3.9014846633130116</v>
      </c>
      <c r="R78" s="57">
        <v>5.8725676288039486</v>
      </c>
      <c r="S78" s="57">
        <v>5.0764930414967928</v>
      </c>
      <c r="T78" s="60">
        <f t="shared" si="24"/>
        <v>0.83575433118522002</v>
      </c>
      <c r="U78" s="60">
        <f t="shared" si="24"/>
        <v>0.76853935018153141</v>
      </c>
    </row>
    <row r="79" spans="2:21" s="59" customFormat="1" ht="13.2" x14ac:dyDescent="0.3">
      <c r="B79" s="114">
        <f t="shared" si="19"/>
        <v>12</v>
      </c>
      <c r="C79" s="115" t="s">
        <v>117</v>
      </c>
      <c r="D79" s="116">
        <v>2.98</v>
      </c>
      <c r="E79" s="117" t="s">
        <v>101</v>
      </c>
      <c r="F79" s="118">
        <f t="shared" si="20"/>
        <v>11.898578722248072</v>
      </c>
      <c r="G79" s="118">
        <f t="shared" si="21"/>
        <v>9.9090272445678576</v>
      </c>
      <c r="H79" s="118" t="s">
        <v>114</v>
      </c>
      <c r="I79" s="118">
        <f>F79*$D$28</f>
        <v>8852.5425693525649</v>
      </c>
      <c r="J79" s="120">
        <f>G79*$D$28</f>
        <v>7372.3162699584864</v>
      </c>
      <c r="L79" s="113">
        <f t="shared" si="23"/>
        <v>0</v>
      </c>
      <c r="M79" s="113">
        <f t="shared" si="23"/>
        <v>0</v>
      </c>
      <c r="O79" s="57">
        <v>4.7706433756925541</v>
      </c>
      <c r="P79" s="57">
        <v>3.7473418499974738</v>
      </c>
      <c r="R79" s="57">
        <v>7.1279353465555175</v>
      </c>
      <c r="S79" s="57">
        <v>6.1616853945703838</v>
      </c>
      <c r="T79" s="60">
        <f t="shared" si="24"/>
        <v>0.66928825020809235</v>
      </c>
      <c r="U79" s="60">
        <f t="shared" si="24"/>
        <v>0.60816831922311287</v>
      </c>
    </row>
    <row r="80" spans="2:21" s="59" customFormat="1" ht="13.2" x14ac:dyDescent="0.3">
      <c r="B80" s="114">
        <f t="shared" si="19"/>
        <v>13</v>
      </c>
      <c r="C80" s="115" t="s">
        <v>118</v>
      </c>
      <c r="D80" s="116">
        <v>1.97</v>
      </c>
      <c r="E80" s="117" t="s">
        <v>101</v>
      </c>
      <c r="F80" s="118">
        <f t="shared" si="20"/>
        <v>7.8658389539693632</v>
      </c>
      <c r="G80" s="118">
        <f t="shared" si="21"/>
        <v>6.5505985475834496</v>
      </c>
      <c r="H80" s="118" t="s">
        <v>114</v>
      </c>
      <c r="I80" s="118">
        <f>F80*$D$29</f>
        <v>5285.8437770674118</v>
      </c>
      <c r="J80" s="120">
        <f>G80*$D$29</f>
        <v>4402.0022239760783</v>
      </c>
      <c r="L80" s="113">
        <f t="shared" si="23"/>
        <v>0</v>
      </c>
      <c r="M80" s="113">
        <f t="shared" si="23"/>
        <v>0</v>
      </c>
      <c r="O80" s="57">
        <v>3.269916461861925</v>
      </c>
      <c r="P80" s="57">
        <v>2.5776909498903064</v>
      </c>
      <c r="R80" s="57">
        <v>4.5959224921074382</v>
      </c>
      <c r="S80" s="57">
        <v>3.9729075976931432</v>
      </c>
      <c r="T80" s="60">
        <f t="shared" si="24"/>
        <v>0.71148207296301047</v>
      </c>
      <c r="U80" s="60">
        <f t="shared" si="24"/>
        <v>0.64881724190792522</v>
      </c>
    </row>
    <row r="81" spans="2:21" s="59" customFormat="1" ht="13.2" x14ac:dyDescent="0.3">
      <c r="B81" s="114">
        <f t="shared" si="19"/>
        <v>14</v>
      </c>
      <c r="C81" s="115" t="s">
        <v>119</v>
      </c>
      <c r="D81" s="116">
        <v>1.64</v>
      </c>
      <c r="E81" s="117" t="s">
        <v>101</v>
      </c>
      <c r="F81" s="118">
        <f t="shared" si="20"/>
        <v>6.5482111088882009</v>
      </c>
      <c r="G81" s="118">
        <f t="shared" si="21"/>
        <v>5.4532901614400284</v>
      </c>
      <c r="H81" s="118" t="s">
        <v>114</v>
      </c>
      <c r="I81" s="118">
        <f>F81*$D$30</f>
        <v>4871.8690650128219</v>
      </c>
      <c r="J81" s="120">
        <f>G81*$D$30</f>
        <v>4057.2478801113812</v>
      </c>
      <c r="L81" s="113">
        <f t="shared" si="23"/>
        <v>0</v>
      </c>
      <c r="M81" s="113">
        <f t="shared" si="23"/>
        <v>0</v>
      </c>
      <c r="O81" s="57">
        <v>3.0161595640278551</v>
      </c>
      <c r="P81" s="57">
        <v>2.4000371002499281</v>
      </c>
      <c r="R81" s="57">
        <v>3.5320515448603458</v>
      </c>
      <c r="S81" s="57">
        <v>3.0532530611901003</v>
      </c>
      <c r="T81" s="60">
        <f t="shared" si="24"/>
        <v>0.85393984932547506</v>
      </c>
      <c r="U81" s="60">
        <f t="shared" si="24"/>
        <v>0.78605901710434667</v>
      </c>
    </row>
    <row r="82" spans="2:21" s="59" customFormat="1" ht="13.2" x14ac:dyDescent="0.3">
      <c r="B82" s="114">
        <f t="shared" si="19"/>
        <v>15</v>
      </c>
      <c r="C82" s="115" t="s">
        <v>120</v>
      </c>
      <c r="D82" s="116">
        <v>0.92</v>
      </c>
      <c r="E82" s="117" t="s">
        <v>101</v>
      </c>
      <c r="F82" s="118">
        <f t="shared" si="20"/>
        <v>3.6733867196202104</v>
      </c>
      <c r="G82" s="118">
        <f t="shared" si="21"/>
        <v>3.0591627734907481</v>
      </c>
      <c r="H82" s="118" t="s">
        <v>114</v>
      </c>
      <c r="I82" s="118">
        <f>F82*$D$19</f>
        <v>2644.8384381265514</v>
      </c>
      <c r="J82" s="120">
        <f>G82*$D$19</f>
        <v>2202.5971969133384</v>
      </c>
      <c r="L82" s="113">
        <f t="shared" ref="L82:M87" si="25">F82-J19</f>
        <v>0</v>
      </c>
      <c r="M82" s="113">
        <f t="shared" si="25"/>
        <v>0</v>
      </c>
      <c r="O82" s="57">
        <v>1.673309338795677</v>
      </c>
      <c r="P82" s="57">
        <v>1.3302122448650286</v>
      </c>
      <c r="R82" s="57">
        <v>2.0000773808245333</v>
      </c>
      <c r="S82" s="57">
        <v>1.7289505286257194</v>
      </c>
      <c r="T82" s="60">
        <f t="shared" si="24"/>
        <v>0.83662230013613481</v>
      </c>
      <c r="U82" s="60">
        <f t="shared" si="24"/>
        <v>0.769375538999584</v>
      </c>
    </row>
    <row r="83" spans="2:21" s="59" customFormat="1" ht="13.2" x14ac:dyDescent="0.3">
      <c r="B83" s="114">
        <f t="shared" si="19"/>
        <v>16</v>
      </c>
      <c r="C83" s="115" t="s">
        <v>121</v>
      </c>
      <c r="D83" s="116">
        <v>0.82</v>
      </c>
      <c r="E83" s="117" t="s">
        <v>101</v>
      </c>
      <c r="F83" s="118">
        <f t="shared" si="20"/>
        <v>3.2741055544441005</v>
      </c>
      <c r="G83" s="118">
        <f t="shared" si="21"/>
        <v>2.7266450807200142</v>
      </c>
      <c r="H83" s="118" t="s">
        <v>114</v>
      </c>
      <c r="I83" s="118">
        <f>F83*$D$20</f>
        <v>2435.934532506411</v>
      </c>
      <c r="J83" s="120">
        <f>G83*$D$20</f>
        <v>2028.6239400556906</v>
      </c>
      <c r="L83" s="113">
        <f t="shared" si="25"/>
        <v>0</v>
      </c>
      <c r="M83" s="113">
        <f t="shared" si="25"/>
        <v>0</v>
      </c>
      <c r="O83" s="57">
        <v>1.5293572009588694</v>
      </c>
      <c r="P83" s="57">
        <v>1.218411640855025</v>
      </c>
      <c r="R83" s="57">
        <v>1.7447483534852311</v>
      </c>
      <c r="S83" s="57">
        <v>1.5082334398649893</v>
      </c>
      <c r="T83" s="60">
        <f t="shared" si="24"/>
        <v>0.87654887187822483</v>
      </c>
      <c r="U83" s="60">
        <f t="shared" si="24"/>
        <v>0.8078402246300096</v>
      </c>
    </row>
    <row r="84" spans="2:21" s="59" customFormat="1" ht="13.2" x14ac:dyDescent="0.3">
      <c r="B84" s="114">
        <f t="shared" si="19"/>
        <v>17</v>
      </c>
      <c r="C84" s="115" t="s">
        <v>122</v>
      </c>
      <c r="D84" s="116">
        <v>0.71</v>
      </c>
      <c r="E84" s="117" t="s">
        <v>101</v>
      </c>
      <c r="F84" s="118">
        <f t="shared" si="20"/>
        <v>2.8348962727503797</v>
      </c>
      <c r="G84" s="118">
        <f t="shared" si="21"/>
        <v>2.3608756186722077</v>
      </c>
      <c r="H84" s="118" t="s">
        <v>114</v>
      </c>
      <c r="I84" s="118">
        <f>F84*$D$21</f>
        <v>2041.1253163802735</v>
      </c>
      <c r="J84" s="120">
        <f>G84*$D$21</f>
        <v>1699.8304454439897</v>
      </c>
      <c r="L84" s="113">
        <f t="shared" si="25"/>
        <v>0</v>
      </c>
      <c r="M84" s="113">
        <f t="shared" si="25"/>
        <v>0</v>
      </c>
      <c r="O84" s="57">
        <v>1.1965350139898576</v>
      </c>
      <c r="P84" s="57">
        <v>0.94460763245752255</v>
      </c>
      <c r="R84" s="57">
        <v>1.6383612587605221</v>
      </c>
      <c r="S84" s="57">
        <v>1.4162679862146852</v>
      </c>
      <c r="T84" s="60">
        <f t="shared" si="24"/>
        <v>0.73032428445914199</v>
      </c>
      <c r="U84" s="60">
        <f t="shared" si="24"/>
        <v>0.66696955777572309</v>
      </c>
    </row>
    <row r="85" spans="2:21" s="59" customFormat="1" ht="13.2" x14ac:dyDescent="0.3">
      <c r="B85" s="114">
        <f t="shared" si="19"/>
        <v>18</v>
      </c>
      <c r="C85" s="115" t="s">
        <v>123</v>
      </c>
      <c r="D85" s="116">
        <v>1.06</v>
      </c>
      <c r="E85" s="117" t="s">
        <v>101</v>
      </c>
      <c r="F85" s="118">
        <f t="shared" si="20"/>
        <v>4.2323803508667641</v>
      </c>
      <c r="G85" s="118">
        <f t="shared" si="21"/>
        <v>3.5246875433697751</v>
      </c>
      <c r="H85" s="118" t="s">
        <v>114</v>
      </c>
      <c r="I85" s="118">
        <f>F85*$D$22</f>
        <v>3148.8909810448727</v>
      </c>
      <c r="J85" s="120">
        <f>G85*$D$22</f>
        <v>2622.3675322671124</v>
      </c>
      <c r="L85" s="113">
        <f t="shared" si="25"/>
        <v>0</v>
      </c>
      <c r="M85" s="113">
        <f t="shared" si="25"/>
        <v>0</v>
      </c>
      <c r="O85" s="57">
        <v>2.466354578436591</v>
      </c>
      <c r="P85" s="57">
        <v>1.9980610127747249</v>
      </c>
      <c r="R85" s="57">
        <v>1.7660257724301729</v>
      </c>
      <c r="S85" s="57">
        <v>1.5266265305950502</v>
      </c>
      <c r="T85" s="60">
        <f t="shared" si="24"/>
        <v>1.396556390591468</v>
      </c>
      <c r="U85" s="60">
        <f t="shared" si="24"/>
        <v>1.3088079977202534</v>
      </c>
    </row>
    <row r="86" spans="2:21" s="59" customFormat="1" ht="13.2" x14ac:dyDescent="0.3">
      <c r="B86" s="114">
        <f t="shared" si="19"/>
        <v>19</v>
      </c>
      <c r="C86" s="115" t="s">
        <v>124</v>
      </c>
      <c r="D86" s="116">
        <v>0.86</v>
      </c>
      <c r="E86" s="117" t="s">
        <v>101</v>
      </c>
      <c r="F86" s="118">
        <f t="shared" si="20"/>
        <v>3.4338180205145443</v>
      </c>
      <c r="G86" s="118">
        <f t="shared" si="21"/>
        <v>2.8596521578283078</v>
      </c>
      <c r="H86" s="118" t="s">
        <v>114</v>
      </c>
      <c r="I86" s="118">
        <f>F86*$D$23</f>
        <v>2554.7606072628209</v>
      </c>
      <c r="J86" s="120">
        <f>G86*$D$23</f>
        <v>2127.581205424261</v>
      </c>
      <c r="L86" s="113">
        <f t="shared" si="25"/>
        <v>0</v>
      </c>
      <c r="M86" s="113">
        <f t="shared" si="25"/>
        <v>0</v>
      </c>
      <c r="O86" s="57">
        <v>1.561405153359662</v>
      </c>
      <c r="P86" s="57">
        <v>1.2410601735829534</v>
      </c>
      <c r="R86" s="57">
        <v>1.8724128671548823</v>
      </c>
      <c r="S86" s="57">
        <v>1.6185919842453544</v>
      </c>
      <c r="T86" s="60">
        <f t="shared" si="24"/>
        <v>0.8339000338809921</v>
      </c>
      <c r="U86" s="60">
        <f t="shared" si="24"/>
        <v>0.76675294679750938</v>
      </c>
    </row>
    <row r="87" spans="2:21" s="59" customFormat="1" ht="13.8" thickBot="1" x14ac:dyDescent="0.35">
      <c r="B87" s="121">
        <f t="shared" si="19"/>
        <v>20</v>
      </c>
      <c r="C87" s="122" t="s">
        <v>125</v>
      </c>
      <c r="D87" s="123">
        <v>1.07</v>
      </c>
      <c r="E87" s="124" t="s">
        <v>101</v>
      </c>
      <c r="F87" s="125">
        <f t="shared" si="20"/>
        <v>4.2723084673843754</v>
      </c>
      <c r="G87" s="125">
        <f t="shared" si="21"/>
        <v>3.5579393126468486</v>
      </c>
      <c r="H87" s="125" t="s">
        <v>114</v>
      </c>
      <c r="I87" s="125">
        <f>F87*$D$24</f>
        <v>3076.0620965167504</v>
      </c>
      <c r="J87" s="127">
        <f>G87*$D$24</f>
        <v>2561.716305105731</v>
      </c>
      <c r="L87" s="113">
        <f t="shared" si="25"/>
        <v>0</v>
      </c>
      <c r="M87" s="113">
        <f t="shared" si="25"/>
        <v>0</v>
      </c>
      <c r="O87" s="57">
        <v>2.3786181812845513</v>
      </c>
      <c r="P87" s="57">
        <v>1.9209542376714333</v>
      </c>
      <c r="R87" s="57">
        <v>1.8936902860998241</v>
      </c>
      <c r="S87" s="57">
        <v>1.6369850749754153</v>
      </c>
      <c r="T87" s="60">
        <f t="shared" si="24"/>
        <v>1.2560756100108996</v>
      </c>
      <c r="U87" s="60">
        <f t="shared" si="24"/>
        <v>1.1734708318585509</v>
      </c>
    </row>
    <row r="88" spans="2:21" s="59" customFormat="1" ht="13.8" thickBot="1" x14ac:dyDescent="0.35">
      <c r="B88" s="210" t="s">
        <v>126</v>
      </c>
      <c r="C88" s="211"/>
      <c r="D88" s="211"/>
      <c r="E88" s="211"/>
      <c r="F88" s="211"/>
      <c r="G88" s="211"/>
      <c r="H88" s="211"/>
      <c r="I88" s="211"/>
      <c r="J88" s="212"/>
    </row>
    <row r="89" spans="2:21" s="59" customFormat="1" ht="13.2" x14ac:dyDescent="0.3">
      <c r="B89" s="106">
        <f>B87+1</f>
        <v>21</v>
      </c>
      <c r="C89" s="107" t="s">
        <v>127</v>
      </c>
      <c r="D89" s="108">
        <v>2.69</v>
      </c>
      <c r="E89" s="109" t="s">
        <v>101</v>
      </c>
      <c r="F89" s="110">
        <f t="shared" si="20"/>
        <v>10.740663343237353</v>
      </c>
      <c r="G89" s="110">
        <f t="shared" si="21"/>
        <v>8.9447259355327304</v>
      </c>
      <c r="H89" s="110" t="s">
        <v>128</v>
      </c>
      <c r="I89" s="110">
        <f>F89*$D$25</f>
        <v>7991.0535273685909</v>
      </c>
      <c r="J89" s="112">
        <f>G89*$D$25</f>
        <v>6654.8760960363516</v>
      </c>
      <c r="O89" s="57">
        <v>5.8043021480108452</v>
      </c>
      <c r="P89" s="57">
        <v>4.6775288861586146</v>
      </c>
      <c r="R89" s="57">
        <v>4.9363611952265076</v>
      </c>
      <c r="S89" s="57">
        <v>4.2671970493741158</v>
      </c>
      <c r="T89" s="60">
        <f t="shared" ref="T89:U100" si="26">F89/R89-1</f>
        <v>1.175826062651907</v>
      </c>
      <c r="U89" s="60">
        <f t="shared" si="26"/>
        <v>1.0961595707994509</v>
      </c>
    </row>
    <row r="90" spans="2:21" s="59" customFormat="1" ht="13.2" x14ac:dyDescent="0.3">
      <c r="B90" s="114">
        <f t="shared" si="19"/>
        <v>22</v>
      </c>
      <c r="C90" s="115" t="s">
        <v>129</v>
      </c>
      <c r="D90" s="116">
        <v>3.84</v>
      </c>
      <c r="E90" s="117" t="s">
        <v>101</v>
      </c>
      <c r="F90" s="118">
        <f t="shared" si="20"/>
        <v>15.332396742762617</v>
      </c>
      <c r="G90" s="118">
        <f t="shared" si="21"/>
        <v>12.768679402396165</v>
      </c>
      <c r="H90" s="118" t="s">
        <v>128</v>
      </c>
      <c r="I90" s="118">
        <f>F90*$D$26</f>
        <v>11039.325654789083</v>
      </c>
      <c r="J90" s="120">
        <f>G90*$D$26</f>
        <v>9193.4491697252379</v>
      </c>
      <c r="O90" s="57">
        <v>7.6725259225835529</v>
      </c>
      <c r="P90" s="57">
        <v>6.14716673957426</v>
      </c>
      <c r="R90" s="57">
        <v>7.659870820179064</v>
      </c>
      <c r="S90" s="57">
        <v>6.621512662821905</v>
      </c>
      <c r="T90" s="60">
        <f t="shared" si="26"/>
        <v>1.0016521300034396</v>
      </c>
      <c r="U90" s="60">
        <f t="shared" si="26"/>
        <v>0.92836290627201001</v>
      </c>
    </row>
    <row r="91" spans="2:21" s="59" customFormat="1" ht="13.2" x14ac:dyDescent="0.3">
      <c r="B91" s="114">
        <f t="shared" si="19"/>
        <v>23</v>
      </c>
      <c r="C91" s="115" t="s">
        <v>130</v>
      </c>
      <c r="D91" s="116">
        <v>5.41</v>
      </c>
      <c r="E91" s="117" t="s">
        <v>101</v>
      </c>
      <c r="F91" s="118">
        <f t="shared" si="20"/>
        <v>21.60111103602754</v>
      </c>
      <c r="G91" s="118">
        <f t="shared" si="21"/>
        <v>17.989207178896681</v>
      </c>
      <c r="H91" s="118" t="s">
        <v>128</v>
      </c>
      <c r="I91" s="118">
        <f>F91*$D$27</f>
        <v>16071.22661080449</v>
      </c>
      <c r="J91" s="120">
        <f>G91*$D$27</f>
        <v>13383.970141099131</v>
      </c>
      <c r="O91" s="57">
        <v>9.8772531973645847</v>
      </c>
      <c r="P91" s="57">
        <v>7.8546141866331549</v>
      </c>
      <c r="R91" s="57">
        <v>11.723857838662955</v>
      </c>
      <c r="S91" s="57">
        <v>10.134592992263526</v>
      </c>
      <c r="T91" s="60">
        <f t="shared" si="26"/>
        <v>0.84249172356827495</v>
      </c>
      <c r="U91" s="60">
        <f t="shared" si="26"/>
        <v>0.77503005721385709</v>
      </c>
    </row>
    <row r="92" spans="2:21" s="59" customFormat="1" ht="13.2" x14ac:dyDescent="0.3">
      <c r="B92" s="114">
        <f t="shared" si="19"/>
        <v>24</v>
      </c>
      <c r="C92" s="115" t="s">
        <v>131</v>
      </c>
      <c r="D92" s="116">
        <v>5.95</v>
      </c>
      <c r="E92" s="117" t="s">
        <v>101</v>
      </c>
      <c r="F92" s="118">
        <f t="shared" si="20"/>
        <v>23.757229327978536</v>
      </c>
      <c r="G92" s="118">
        <f t="shared" si="21"/>
        <v>19.784802719858643</v>
      </c>
      <c r="H92" s="118" t="s">
        <v>128</v>
      </c>
      <c r="I92" s="118">
        <f>F92*$D$28</f>
        <v>17675.378620016032</v>
      </c>
      <c r="J92" s="120">
        <f>G92*$D$28</f>
        <v>14719.893223574831</v>
      </c>
      <c r="O92" s="57">
        <v>9.522636053812441</v>
      </c>
      <c r="P92" s="57">
        <v>7.4798250214479367</v>
      </c>
      <c r="R92" s="57">
        <v>14.234593274166095</v>
      </c>
      <c r="S92" s="57">
        <v>12.304977698410706</v>
      </c>
      <c r="T92" s="60">
        <f t="shared" si="26"/>
        <v>0.66897844359872005</v>
      </c>
      <c r="U92" s="60">
        <f t="shared" si="26"/>
        <v>0.60786985598633159</v>
      </c>
    </row>
    <row r="93" spans="2:21" s="59" customFormat="1" ht="13.2" x14ac:dyDescent="0.3">
      <c r="B93" s="114">
        <f t="shared" si="19"/>
        <v>25</v>
      </c>
      <c r="C93" s="115" t="s">
        <v>132</v>
      </c>
      <c r="D93" s="116">
        <v>3.94</v>
      </c>
      <c r="E93" s="117" t="s">
        <v>101</v>
      </c>
      <c r="F93" s="118">
        <f t="shared" si="20"/>
        <v>15.731677907938726</v>
      </c>
      <c r="G93" s="118">
        <f t="shared" si="21"/>
        <v>13.101197095166899</v>
      </c>
      <c r="H93" s="118" t="s">
        <v>128</v>
      </c>
      <c r="I93" s="118">
        <f>F93*$D$29</f>
        <v>10571.687554134824</v>
      </c>
      <c r="J93" s="120">
        <f>G93*$D$29</f>
        <v>8804.0044479521566</v>
      </c>
      <c r="O93" s="57">
        <v>6.5611103426687922</v>
      </c>
      <c r="P93" s="57">
        <v>5.1737749905106751</v>
      </c>
      <c r="R93" s="57">
        <v>9.1705675652699341</v>
      </c>
      <c r="S93" s="57">
        <v>7.9274221046562241</v>
      </c>
      <c r="T93" s="60">
        <f t="shared" si="26"/>
        <v>0.7154530290487715</v>
      </c>
      <c r="U93" s="60">
        <f t="shared" si="26"/>
        <v>0.65264280395411567</v>
      </c>
    </row>
    <row r="94" spans="2:21" s="59" customFormat="1" ht="13.2" x14ac:dyDescent="0.3">
      <c r="B94" s="114">
        <f t="shared" si="19"/>
        <v>26</v>
      </c>
      <c r="C94" s="115" t="s">
        <v>133</v>
      </c>
      <c r="D94" s="116">
        <v>3.28</v>
      </c>
      <c r="E94" s="117" t="s">
        <v>101</v>
      </c>
      <c r="F94" s="118">
        <f t="shared" si="20"/>
        <v>13.096422217776402</v>
      </c>
      <c r="G94" s="118">
        <f t="shared" si="21"/>
        <v>10.906580322880057</v>
      </c>
      <c r="H94" s="118" t="s">
        <v>128</v>
      </c>
      <c r="I94" s="118">
        <f>F94*$D$30</f>
        <v>9743.7381300256438</v>
      </c>
      <c r="J94" s="120">
        <f>G94*$D$30</f>
        <v>8114.4957602227623</v>
      </c>
      <c r="O94" s="57">
        <v>6.0323191280557102</v>
      </c>
      <c r="P94" s="57">
        <v>4.8000742004998562</v>
      </c>
      <c r="R94" s="57">
        <v>7.0641030897206916</v>
      </c>
      <c r="S94" s="57">
        <v>6.1065061223802006</v>
      </c>
      <c r="T94" s="60">
        <f t="shared" si="26"/>
        <v>0.85393984932547506</v>
      </c>
      <c r="U94" s="60">
        <f t="shared" si="26"/>
        <v>0.78605901710434667</v>
      </c>
    </row>
    <row r="95" spans="2:21" s="59" customFormat="1" ht="13.2" x14ac:dyDescent="0.3">
      <c r="B95" s="114">
        <f t="shared" si="19"/>
        <v>27</v>
      </c>
      <c r="C95" s="115" t="s">
        <v>134</v>
      </c>
      <c r="D95" s="116">
        <v>1.84</v>
      </c>
      <c r="E95" s="117" t="s">
        <v>101</v>
      </c>
      <c r="F95" s="118">
        <f t="shared" si="20"/>
        <v>7.3467734392404207</v>
      </c>
      <c r="G95" s="118">
        <f t="shared" si="21"/>
        <v>6.1183255469814961</v>
      </c>
      <c r="H95" s="118" t="s">
        <v>128</v>
      </c>
      <c r="I95" s="118">
        <f>F95*$D$19</f>
        <v>5289.6768762531028</v>
      </c>
      <c r="J95" s="120">
        <f>G95*$D$19</f>
        <v>4405.1943938266768</v>
      </c>
      <c r="O95" s="57">
        <v>3.346618677591354</v>
      </c>
      <c r="P95" s="57">
        <v>2.6604244897300573</v>
      </c>
      <c r="R95" s="57">
        <v>4.0001547616490667</v>
      </c>
      <c r="S95" s="57">
        <v>3.4579010572514388</v>
      </c>
      <c r="T95" s="60">
        <f t="shared" si="26"/>
        <v>0.83662230013613481</v>
      </c>
      <c r="U95" s="60">
        <f t="shared" si="26"/>
        <v>0.769375538999584</v>
      </c>
    </row>
    <row r="96" spans="2:21" s="59" customFormat="1" ht="13.2" x14ac:dyDescent="0.3">
      <c r="B96" s="114">
        <f t="shared" si="19"/>
        <v>28</v>
      </c>
      <c r="C96" s="115" t="s">
        <v>135</v>
      </c>
      <c r="D96" s="116">
        <v>1.64</v>
      </c>
      <c r="E96" s="117" t="s">
        <v>101</v>
      </c>
      <c r="F96" s="118">
        <f t="shared" si="20"/>
        <v>6.5482111088882009</v>
      </c>
      <c r="G96" s="118">
        <f t="shared" si="21"/>
        <v>5.4532901614400284</v>
      </c>
      <c r="H96" s="118" t="s">
        <v>128</v>
      </c>
      <c r="I96" s="118">
        <f>F96*$D$20</f>
        <v>4871.8690650128219</v>
      </c>
      <c r="J96" s="120">
        <f>G96*$D$20</f>
        <v>4057.2478801113812</v>
      </c>
      <c r="O96" s="57">
        <v>3.0587144019177388</v>
      </c>
      <c r="P96" s="57">
        <v>2.4368232817100499</v>
      </c>
      <c r="R96" s="57">
        <v>3.4894967069704621</v>
      </c>
      <c r="S96" s="57">
        <v>3.0164668797299785</v>
      </c>
      <c r="T96" s="60">
        <f t="shared" si="26"/>
        <v>0.87654887187822483</v>
      </c>
      <c r="U96" s="60">
        <f t="shared" si="26"/>
        <v>0.8078402246300096</v>
      </c>
    </row>
    <row r="97" spans="2:21" s="59" customFormat="1" ht="13.2" x14ac:dyDescent="0.3">
      <c r="B97" s="114">
        <f t="shared" si="19"/>
        <v>29</v>
      </c>
      <c r="C97" s="115" t="s">
        <v>136</v>
      </c>
      <c r="D97" s="116">
        <v>1.42</v>
      </c>
      <c r="E97" s="117" t="s">
        <v>101</v>
      </c>
      <c r="F97" s="118">
        <f t="shared" si="20"/>
        <v>5.6697925455007594</v>
      </c>
      <c r="G97" s="118">
        <f t="shared" si="21"/>
        <v>4.7217512373444155</v>
      </c>
      <c r="H97" s="118" t="s">
        <v>128</v>
      </c>
      <c r="I97" s="118">
        <f>F97*$D$21</f>
        <v>4082.250632760547</v>
      </c>
      <c r="J97" s="120">
        <f>G97*$D$21</f>
        <v>3399.6608908879793</v>
      </c>
      <c r="O97" s="57">
        <v>2.3930700279797152</v>
      </c>
      <c r="P97" s="57">
        <v>1.8892152649150451</v>
      </c>
      <c r="R97" s="57">
        <v>3.2767225175210442</v>
      </c>
      <c r="S97" s="57">
        <v>2.8325359724293704</v>
      </c>
      <c r="T97" s="60">
        <f t="shared" si="26"/>
        <v>0.73032428445914199</v>
      </c>
      <c r="U97" s="60">
        <f t="shared" si="26"/>
        <v>0.66696955777572309</v>
      </c>
    </row>
    <row r="98" spans="2:21" s="59" customFormat="1" ht="13.2" x14ac:dyDescent="0.3">
      <c r="B98" s="114">
        <f t="shared" si="19"/>
        <v>30</v>
      </c>
      <c r="C98" s="115" t="s">
        <v>137</v>
      </c>
      <c r="D98" s="116">
        <v>2.13</v>
      </c>
      <c r="E98" s="117" t="s">
        <v>101</v>
      </c>
      <c r="F98" s="118">
        <f t="shared" si="20"/>
        <v>8.5046888182511378</v>
      </c>
      <c r="G98" s="118">
        <f t="shared" si="21"/>
        <v>7.0826268560166232</v>
      </c>
      <c r="H98" s="118" t="s">
        <v>128</v>
      </c>
      <c r="I98" s="118">
        <f>F98*$D$22</f>
        <v>6327.4884807788467</v>
      </c>
      <c r="J98" s="120">
        <f>G98*$D$22</f>
        <v>5269.4743808763678</v>
      </c>
      <c r="O98" s="57">
        <v>4.9726372733907915</v>
      </c>
      <c r="P98" s="57">
        <v>4.0293737948265225</v>
      </c>
      <c r="R98" s="57">
        <v>3.5320515448603458</v>
      </c>
      <c r="S98" s="57">
        <v>3.0532530611901003</v>
      </c>
      <c r="T98" s="60">
        <f t="shared" si="26"/>
        <v>1.4078609018678421</v>
      </c>
      <c r="U98" s="60">
        <f t="shared" si="26"/>
        <v>1.3196986014830849</v>
      </c>
    </row>
    <row r="99" spans="2:21" s="59" customFormat="1" ht="13.2" x14ac:dyDescent="0.3">
      <c r="B99" s="114">
        <f t="shared" si="19"/>
        <v>31</v>
      </c>
      <c r="C99" s="115" t="s">
        <v>138</v>
      </c>
      <c r="D99" s="116">
        <v>1.73</v>
      </c>
      <c r="E99" s="117" t="s">
        <v>101</v>
      </c>
      <c r="F99" s="118">
        <f t="shared" si="20"/>
        <v>6.9075641575466999</v>
      </c>
      <c r="G99" s="118">
        <f t="shared" si="21"/>
        <v>5.7525560849336896</v>
      </c>
      <c r="H99" s="118" t="s">
        <v>128</v>
      </c>
      <c r="I99" s="118">
        <f>F99*$D$23</f>
        <v>5139.2277332147451</v>
      </c>
      <c r="J99" s="120">
        <f>G99*$D$23</f>
        <v>4279.901727190665</v>
      </c>
      <c r="O99" s="57">
        <v>3.1627384232369353</v>
      </c>
      <c r="P99" s="57">
        <v>2.5153721164429808</v>
      </c>
      <c r="R99" s="57">
        <v>3.7448257343097646</v>
      </c>
      <c r="S99" s="57">
        <v>3.2371839684907089</v>
      </c>
      <c r="T99" s="60">
        <f t="shared" si="26"/>
        <v>0.84456224338030039</v>
      </c>
      <c r="U99" s="60">
        <f t="shared" si="26"/>
        <v>0.77702476625563466</v>
      </c>
    </row>
    <row r="100" spans="2:21" s="59" customFormat="1" ht="13.8" thickBot="1" x14ac:dyDescent="0.35">
      <c r="B100" s="121">
        <f t="shared" si="19"/>
        <v>32</v>
      </c>
      <c r="C100" s="122" t="s">
        <v>139</v>
      </c>
      <c r="D100" s="129">
        <v>2.15</v>
      </c>
      <c r="E100" s="124" t="s">
        <v>101</v>
      </c>
      <c r="F100" s="125">
        <f t="shared" si="20"/>
        <v>8.5845450512863604</v>
      </c>
      <c r="G100" s="125">
        <f t="shared" si="21"/>
        <v>7.1491303945707694</v>
      </c>
      <c r="H100" s="125" t="s">
        <v>128</v>
      </c>
      <c r="I100" s="125">
        <f>F100*$D$24</f>
        <v>6180.872436926179</v>
      </c>
      <c r="J100" s="127">
        <f>G100*$D$24</f>
        <v>5147.3738840909537</v>
      </c>
      <c r="O100" s="57">
        <v>4.8184418980316543</v>
      </c>
      <c r="P100" s="57">
        <v>3.8935533353499996</v>
      </c>
      <c r="R100" s="57">
        <v>3.7661031532547065</v>
      </c>
      <c r="S100" s="57">
        <v>3.2555770592207698</v>
      </c>
      <c r="T100" s="60">
        <f t="shared" si="26"/>
        <v>1.2794237709255269</v>
      </c>
      <c r="U100" s="60">
        <f t="shared" si="26"/>
        <v>1.1959641146635707</v>
      </c>
    </row>
    <row r="101" spans="2:21" s="59" customFormat="1" ht="13.8" thickBot="1" x14ac:dyDescent="0.35">
      <c r="B101" s="210" t="s">
        <v>140</v>
      </c>
      <c r="C101" s="211"/>
      <c r="D101" s="211"/>
      <c r="E101" s="211"/>
      <c r="F101" s="211"/>
      <c r="G101" s="211"/>
      <c r="H101" s="211"/>
      <c r="I101" s="211"/>
      <c r="J101" s="212"/>
    </row>
    <row r="102" spans="2:21" s="59" customFormat="1" ht="13.2" x14ac:dyDescent="0.3">
      <c r="B102" s="106">
        <f>B100+1</f>
        <v>33</v>
      </c>
      <c r="C102" s="107" t="s">
        <v>141</v>
      </c>
      <c r="D102" s="130">
        <v>2.69</v>
      </c>
      <c r="E102" s="109" t="s">
        <v>101</v>
      </c>
      <c r="F102" s="110">
        <f>$F$66*D102</f>
        <v>10.740663343237353</v>
      </c>
      <c r="G102" s="110">
        <f>$G$66*D102</f>
        <v>8.9447259355327304</v>
      </c>
      <c r="H102" s="110" t="s">
        <v>101</v>
      </c>
      <c r="I102" s="110">
        <f>F102</f>
        <v>10.740663343237353</v>
      </c>
      <c r="J102" s="112">
        <f>G102</f>
        <v>8.9447259355327304</v>
      </c>
      <c r="O102" s="57">
        <v>5.8043021480108452</v>
      </c>
      <c r="P102" s="57">
        <v>4.6775288861586146</v>
      </c>
      <c r="R102" s="57">
        <v>4.9363611952265076</v>
      </c>
      <c r="S102" s="57">
        <v>4.2671970493741158</v>
      </c>
      <c r="T102" s="60">
        <f t="shared" ref="T102:U113" si="27">F102/R102-1</f>
        <v>1.175826062651907</v>
      </c>
      <c r="U102" s="60">
        <f t="shared" si="27"/>
        <v>1.0961595707994509</v>
      </c>
    </row>
    <row r="103" spans="2:21" s="59" customFormat="1" ht="13.2" x14ac:dyDescent="0.3">
      <c r="B103" s="114">
        <f>B102+1</f>
        <v>34</v>
      </c>
      <c r="C103" s="115" t="s">
        <v>142</v>
      </c>
      <c r="D103" s="131">
        <v>3.84</v>
      </c>
      <c r="E103" s="117" t="s">
        <v>101</v>
      </c>
      <c r="F103" s="118">
        <f t="shared" ref="F103:F113" si="28">$F$66*D103</f>
        <v>15.332396742762617</v>
      </c>
      <c r="G103" s="118">
        <f t="shared" ref="G103:G113" si="29">$G$66*D103</f>
        <v>12.768679402396165</v>
      </c>
      <c r="H103" s="118" t="s">
        <v>101</v>
      </c>
      <c r="I103" s="118">
        <f t="shared" ref="I103:J113" si="30">F103</f>
        <v>15.332396742762617</v>
      </c>
      <c r="J103" s="120">
        <f t="shared" si="30"/>
        <v>12.768679402396165</v>
      </c>
      <c r="O103" s="57">
        <v>7.6725259225835529</v>
      </c>
      <c r="P103" s="57">
        <v>6.14716673957426</v>
      </c>
      <c r="R103" s="57">
        <v>7.659870820179064</v>
      </c>
      <c r="S103" s="57">
        <v>6.621512662821905</v>
      </c>
      <c r="T103" s="60">
        <f t="shared" si="27"/>
        <v>1.0016521300034396</v>
      </c>
      <c r="U103" s="60">
        <f t="shared" si="27"/>
        <v>0.92836290627201001</v>
      </c>
    </row>
    <row r="104" spans="2:21" s="59" customFormat="1" ht="13.2" x14ac:dyDescent="0.3">
      <c r="B104" s="114">
        <f t="shared" ref="B104:B113" si="31">B103+1</f>
        <v>35</v>
      </c>
      <c r="C104" s="115" t="s">
        <v>143</v>
      </c>
      <c r="D104" s="131">
        <v>5.41</v>
      </c>
      <c r="E104" s="117" t="s">
        <v>101</v>
      </c>
      <c r="F104" s="118">
        <f t="shared" si="28"/>
        <v>21.60111103602754</v>
      </c>
      <c r="G104" s="118">
        <f t="shared" si="29"/>
        <v>17.989207178896681</v>
      </c>
      <c r="H104" s="118" t="s">
        <v>101</v>
      </c>
      <c r="I104" s="118">
        <f t="shared" si="30"/>
        <v>21.60111103602754</v>
      </c>
      <c r="J104" s="120">
        <f t="shared" si="30"/>
        <v>17.989207178896681</v>
      </c>
      <c r="O104" s="57">
        <v>9.8772531973645847</v>
      </c>
      <c r="P104" s="57">
        <v>7.8546141866331549</v>
      </c>
      <c r="R104" s="57">
        <v>11.723857838662955</v>
      </c>
      <c r="S104" s="57">
        <v>10.134592992263526</v>
      </c>
      <c r="T104" s="60">
        <f t="shared" si="27"/>
        <v>0.84249172356827495</v>
      </c>
      <c r="U104" s="60">
        <f t="shared" si="27"/>
        <v>0.77503005721385709</v>
      </c>
    </row>
    <row r="105" spans="2:21" s="59" customFormat="1" ht="13.2" x14ac:dyDescent="0.3">
      <c r="B105" s="114">
        <f t="shared" si="31"/>
        <v>36</v>
      </c>
      <c r="C105" s="115" t="s">
        <v>144</v>
      </c>
      <c r="D105" s="131">
        <v>5.95</v>
      </c>
      <c r="E105" s="117" t="s">
        <v>101</v>
      </c>
      <c r="F105" s="118">
        <f t="shared" si="28"/>
        <v>23.757229327978536</v>
      </c>
      <c r="G105" s="118">
        <f t="shared" si="29"/>
        <v>19.784802719858643</v>
      </c>
      <c r="H105" s="118" t="s">
        <v>101</v>
      </c>
      <c r="I105" s="118">
        <f t="shared" si="30"/>
        <v>23.757229327978536</v>
      </c>
      <c r="J105" s="120">
        <f t="shared" si="30"/>
        <v>19.784802719858643</v>
      </c>
      <c r="O105" s="57">
        <v>9.522636053812441</v>
      </c>
      <c r="P105" s="57">
        <v>7.4798250214479367</v>
      </c>
      <c r="R105" s="57">
        <v>14.234593274166095</v>
      </c>
      <c r="S105" s="57">
        <v>12.304977698410706</v>
      </c>
      <c r="T105" s="60">
        <f t="shared" si="27"/>
        <v>0.66897844359872005</v>
      </c>
      <c r="U105" s="60">
        <f t="shared" si="27"/>
        <v>0.60786985598633159</v>
      </c>
    </row>
    <row r="106" spans="2:21" s="59" customFormat="1" ht="13.2" x14ac:dyDescent="0.3">
      <c r="B106" s="114">
        <f t="shared" si="31"/>
        <v>37</v>
      </c>
      <c r="C106" s="115" t="s">
        <v>145</v>
      </c>
      <c r="D106" s="131">
        <v>3.94</v>
      </c>
      <c r="E106" s="117" t="s">
        <v>101</v>
      </c>
      <c r="F106" s="118">
        <f t="shared" si="28"/>
        <v>15.731677907938726</v>
      </c>
      <c r="G106" s="118">
        <f t="shared" si="29"/>
        <v>13.101197095166899</v>
      </c>
      <c r="H106" s="118" t="s">
        <v>101</v>
      </c>
      <c r="I106" s="118">
        <f t="shared" si="30"/>
        <v>15.731677907938726</v>
      </c>
      <c r="J106" s="120">
        <f t="shared" si="30"/>
        <v>13.101197095166899</v>
      </c>
      <c r="O106" s="57">
        <v>6.5611103426687922</v>
      </c>
      <c r="P106" s="57">
        <v>5.1737749905106751</v>
      </c>
      <c r="R106" s="57">
        <v>9.1705675652699341</v>
      </c>
      <c r="S106" s="57">
        <v>7.9274221046562241</v>
      </c>
      <c r="T106" s="60">
        <f t="shared" si="27"/>
        <v>0.7154530290487715</v>
      </c>
      <c r="U106" s="60">
        <f t="shared" si="27"/>
        <v>0.65264280395411567</v>
      </c>
    </row>
    <row r="107" spans="2:21" s="59" customFormat="1" ht="13.2" x14ac:dyDescent="0.3">
      <c r="B107" s="114">
        <f t="shared" si="31"/>
        <v>38</v>
      </c>
      <c r="C107" s="115" t="s">
        <v>146</v>
      </c>
      <c r="D107" s="131">
        <v>3.28</v>
      </c>
      <c r="E107" s="117" t="s">
        <v>101</v>
      </c>
      <c r="F107" s="118">
        <f t="shared" si="28"/>
        <v>13.096422217776402</v>
      </c>
      <c r="G107" s="118">
        <f t="shared" si="29"/>
        <v>10.906580322880057</v>
      </c>
      <c r="H107" s="118" t="s">
        <v>101</v>
      </c>
      <c r="I107" s="118">
        <f t="shared" si="30"/>
        <v>13.096422217776402</v>
      </c>
      <c r="J107" s="120">
        <f t="shared" si="30"/>
        <v>10.906580322880057</v>
      </c>
      <c r="O107" s="57">
        <v>6.0323191280557102</v>
      </c>
      <c r="P107" s="57">
        <v>4.8000742004998562</v>
      </c>
      <c r="R107" s="57">
        <v>7.0641030897206916</v>
      </c>
      <c r="S107" s="57">
        <v>6.1065061223802006</v>
      </c>
      <c r="T107" s="60">
        <f t="shared" si="27"/>
        <v>0.85393984932547506</v>
      </c>
      <c r="U107" s="60">
        <f t="shared" si="27"/>
        <v>0.78605901710434667</v>
      </c>
    </row>
    <row r="108" spans="2:21" s="59" customFormat="1" ht="13.2" x14ac:dyDescent="0.3">
      <c r="B108" s="114">
        <f t="shared" si="31"/>
        <v>39</v>
      </c>
      <c r="C108" s="115" t="s">
        <v>147</v>
      </c>
      <c r="D108" s="131">
        <v>1.84</v>
      </c>
      <c r="E108" s="117" t="s">
        <v>101</v>
      </c>
      <c r="F108" s="118">
        <f t="shared" si="28"/>
        <v>7.3467734392404207</v>
      </c>
      <c r="G108" s="118">
        <f t="shared" si="29"/>
        <v>6.1183255469814961</v>
      </c>
      <c r="H108" s="118" t="s">
        <v>101</v>
      </c>
      <c r="I108" s="118">
        <f t="shared" si="30"/>
        <v>7.3467734392404207</v>
      </c>
      <c r="J108" s="120">
        <f t="shared" si="30"/>
        <v>6.1183255469814961</v>
      </c>
      <c r="O108" s="57">
        <v>3.346618677591354</v>
      </c>
      <c r="P108" s="57">
        <v>2.6604244897300573</v>
      </c>
      <c r="R108" s="57">
        <v>4.0001547616490667</v>
      </c>
      <c r="S108" s="57">
        <v>3.4579010572514388</v>
      </c>
      <c r="T108" s="60">
        <f t="shared" si="27"/>
        <v>0.83662230013613481</v>
      </c>
      <c r="U108" s="60">
        <f t="shared" si="27"/>
        <v>0.769375538999584</v>
      </c>
    </row>
    <row r="109" spans="2:21" s="59" customFormat="1" ht="13.2" x14ac:dyDescent="0.3">
      <c r="B109" s="114">
        <f t="shared" si="31"/>
        <v>40</v>
      </c>
      <c r="C109" s="115" t="s">
        <v>148</v>
      </c>
      <c r="D109" s="131">
        <v>1.64</v>
      </c>
      <c r="E109" s="117" t="s">
        <v>101</v>
      </c>
      <c r="F109" s="118">
        <f t="shared" si="28"/>
        <v>6.5482111088882009</v>
      </c>
      <c r="G109" s="118">
        <f t="shared" si="29"/>
        <v>5.4532901614400284</v>
      </c>
      <c r="H109" s="118" t="s">
        <v>101</v>
      </c>
      <c r="I109" s="118">
        <f t="shared" si="30"/>
        <v>6.5482111088882009</v>
      </c>
      <c r="J109" s="120">
        <f t="shared" si="30"/>
        <v>5.4532901614400284</v>
      </c>
      <c r="O109" s="57">
        <v>3.0587144019177388</v>
      </c>
      <c r="P109" s="57">
        <v>2.4368232817100499</v>
      </c>
      <c r="R109" s="57">
        <v>3.4894967069704621</v>
      </c>
      <c r="S109" s="57">
        <v>3.0164668797299785</v>
      </c>
      <c r="T109" s="60">
        <f t="shared" si="27"/>
        <v>0.87654887187822483</v>
      </c>
      <c r="U109" s="60">
        <f t="shared" si="27"/>
        <v>0.8078402246300096</v>
      </c>
    </row>
    <row r="110" spans="2:21" s="59" customFormat="1" ht="13.2" x14ac:dyDescent="0.3">
      <c r="B110" s="114">
        <f t="shared" si="31"/>
        <v>41</v>
      </c>
      <c r="C110" s="115" t="s">
        <v>149</v>
      </c>
      <c r="D110" s="131">
        <v>1.42</v>
      </c>
      <c r="E110" s="117" t="s">
        <v>101</v>
      </c>
      <c r="F110" s="118">
        <f t="shared" si="28"/>
        <v>5.6697925455007594</v>
      </c>
      <c r="G110" s="118">
        <f t="shared" si="29"/>
        <v>4.7217512373444155</v>
      </c>
      <c r="H110" s="118" t="s">
        <v>101</v>
      </c>
      <c r="I110" s="118">
        <f t="shared" si="30"/>
        <v>5.6697925455007594</v>
      </c>
      <c r="J110" s="120">
        <f t="shared" si="30"/>
        <v>4.7217512373444155</v>
      </c>
      <c r="O110" s="57">
        <v>2.3930700279797152</v>
      </c>
      <c r="P110" s="57">
        <v>1.8892152649150451</v>
      </c>
      <c r="R110" s="57">
        <v>3.2767225175210442</v>
      </c>
      <c r="S110" s="57">
        <v>2.8325359724293704</v>
      </c>
      <c r="T110" s="60">
        <f t="shared" si="27"/>
        <v>0.73032428445914199</v>
      </c>
      <c r="U110" s="60">
        <f t="shared" si="27"/>
        <v>0.66696955777572309</v>
      </c>
    </row>
    <row r="111" spans="2:21" s="59" customFormat="1" ht="13.2" x14ac:dyDescent="0.3">
      <c r="B111" s="114">
        <f t="shared" si="31"/>
        <v>42</v>
      </c>
      <c r="C111" s="115" t="s">
        <v>150</v>
      </c>
      <c r="D111" s="131">
        <v>2.13</v>
      </c>
      <c r="E111" s="117" t="s">
        <v>101</v>
      </c>
      <c r="F111" s="118">
        <f t="shared" si="28"/>
        <v>8.5046888182511378</v>
      </c>
      <c r="G111" s="118">
        <f t="shared" si="29"/>
        <v>7.0826268560166232</v>
      </c>
      <c r="H111" s="118" t="s">
        <v>101</v>
      </c>
      <c r="I111" s="118">
        <f t="shared" si="30"/>
        <v>8.5046888182511378</v>
      </c>
      <c r="J111" s="120">
        <f t="shared" si="30"/>
        <v>7.0826268560166232</v>
      </c>
      <c r="O111" s="57">
        <v>4.9726372733907915</v>
      </c>
      <c r="P111" s="57">
        <v>4.0293737948265225</v>
      </c>
      <c r="R111" s="57">
        <v>3.5320515448603458</v>
      </c>
      <c r="S111" s="57">
        <v>3.0532530611901003</v>
      </c>
      <c r="T111" s="60">
        <f t="shared" si="27"/>
        <v>1.4078609018678421</v>
      </c>
      <c r="U111" s="60">
        <f t="shared" si="27"/>
        <v>1.3196986014830849</v>
      </c>
    </row>
    <row r="112" spans="2:21" s="59" customFormat="1" ht="13.2" x14ac:dyDescent="0.3">
      <c r="B112" s="114">
        <f t="shared" si="31"/>
        <v>43</v>
      </c>
      <c r="C112" s="115" t="s">
        <v>151</v>
      </c>
      <c r="D112" s="131">
        <v>1.73</v>
      </c>
      <c r="E112" s="117" t="s">
        <v>101</v>
      </c>
      <c r="F112" s="118">
        <f t="shared" si="28"/>
        <v>6.9075641575466999</v>
      </c>
      <c r="G112" s="118">
        <f t="shared" si="29"/>
        <v>5.7525560849336896</v>
      </c>
      <c r="H112" s="118" t="s">
        <v>101</v>
      </c>
      <c r="I112" s="118">
        <f t="shared" si="30"/>
        <v>6.9075641575466999</v>
      </c>
      <c r="J112" s="120">
        <f t="shared" si="30"/>
        <v>5.7525560849336896</v>
      </c>
      <c r="O112" s="57">
        <v>3.1627384232369353</v>
      </c>
      <c r="P112" s="57">
        <v>2.5153721164429808</v>
      </c>
      <c r="R112" s="57">
        <v>3.7448257343097646</v>
      </c>
      <c r="S112" s="57">
        <v>3.2371839684907089</v>
      </c>
      <c r="T112" s="60">
        <f t="shared" si="27"/>
        <v>0.84456224338030039</v>
      </c>
      <c r="U112" s="60">
        <f t="shared" si="27"/>
        <v>0.77702476625563466</v>
      </c>
    </row>
    <row r="113" spans="2:21" s="59" customFormat="1" ht="13.8" thickBot="1" x14ac:dyDescent="0.35">
      <c r="B113" s="121">
        <f t="shared" si="31"/>
        <v>44</v>
      </c>
      <c r="C113" s="122" t="s">
        <v>152</v>
      </c>
      <c r="D113" s="129">
        <v>2.15</v>
      </c>
      <c r="E113" s="124" t="s">
        <v>101</v>
      </c>
      <c r="F113" s="125">
        <f t="shared" si="28"/>
        <v>8.5845450512863604</v>
      </c>
      <c r="G113" s="125">
        <f t="shared" si="29"/>
        <v>7.1491303945707694</v>
      </c>
      <c r="H113" s="125" t="s">
        <v>101</v>
      </c>
      <c r="I113" s="125">
        <f t="shared" si="30"/>
        <v>8.5845450512863604</v>
      </c>
      <c r="J113" s="127">
        <f t="shared" si="30"/>
        <v>7.1491303945707694</v>
      </c>
      <c r="O113" s="57">
        <v>4.8184418980316543</v>
      </c>
      <c r="P113" s="57">
        <v>3.8935533353499996</v>
      </c>
      <c r="R113" s="57">
        <v>3.7661031532547065</v>
      </c>
      <c r="S113" s="57">
        <v>3.2555770592207698</v>
      </c>
      <c r="T113" s="60">
        <f t="shared" si="27"/>
        <v>1.2794237709255269</v>
      </c>
      <c r="U113" s="60">
        <f t="shared" si="27"/>
        <v>1.1959641146635707</v>
      </c>
    </row>
    <row r="114" spans="2:21" s="59" customFormat="1" ht="13.8" thickBot="1" x14ac:dyDescent="0.35">
      <c r="B114" s="207" t="s">
        <v>153</v>
      </c>
      <c r="C114" s="208"/>
      <c r="D114" s="208"/>
      <c r="E114" s="208"/>
      <c r="F114" s="208"/>
      <c r="G114" s="208"/>
      <c r="H114" s="208"/>
      <c r="I114" s="208"/>
      <c r="J114" s="209"/>
    </row>
    <row r="115" spans="2:21" s="59" customFormat="1" ht="13.8" thickBot="1" x14ac:dyDescent="0.35">
      <c r="B115" s="207" t="s">
        <v>154</v>
      </c>
      <c r="C115" s="208"/>
      <c r="D115" s="208"/>
      <c r="E115" s="208"/>
      <c r="F115" s="208"/>
      <c r="G115" s="208"/>
      <c r="H115" s="208"/>
      <c r="I115" s="208"/>
      <c r="J115" s="209"/>
    </row>
    <row r="116" spans="2:21" s="59" customFormat="1" ht="13.2" x14ac:dyDescent="0.3">
      <c r="B116" s="132">
        <f>B113</f>
        <v>44</v>
      </c>
      <c r="C116" s="133" t="s">
        <v>107</v>
      </c>
      <c r="D116" s="134">
        <v>0.5</v>
      </c>
      <c r="E116" s="135" t="s">
        <v>101</v>
      </c>
      <c r="F116" s="136">
        <f t="shared" ref="F116:G119" si="32">F71*$D116</f>
        <v>3.4338180205145443</v>
      </c>
      <c r="G116" s="136">
        <f t="shared" si="32"/>
        <v>2.8596521578283078</v>
      </c>
      <c r="H116" s="136" t="s">
        <v>108</v>
      </c>
      <c r="I116" s="136">
        <f>F116*$D$17</f>
        <v>7581.8701892961135</v>
      </c>
      <c r="J116" s="137">
        <f>G116*$D$17</f>
        <v>6314.1119644849041</v>
      </c>
      <c r="L116" s="113">
        <f>F116-J34</f>
        <v>0</v>
      </c>
      <c r="M116" s="113">
        <f>G116-K34</f>
        <v>0</v>
      </c>
      <c r="O116" s="57">
        <v>1.6784309575568424</v>
      </c>
      <c r="P116" s="57">
        <v>1.3422221725982881</v>
      </c>
      <c r="R116" s="57">
        <v>1.755387062957702</v>
      </c>
      <c r="S116" s="57">
        <v>1.5174299852300197</v>
      </c>
      <c r="T116" s="60">
        <f t="shared" ref="T116:U119" si="33">F116/R116-1</f>
        <v>0.95616003613972511</v>
      </c>
      <c r="U116" s="60">
        <f t="shared" si="33"/>
        <v>0.88453647658401002</v>
      </c>
    </row>
    <row r="117" spans="2:21" s="59" customFormat="1" ht="13.2" x14ac:dyDescent="0.3">
      <c r="B117" s="114">
        <f t="shared" si="19"/>
        <v>45</v>
      </c>
      <c r="C117" s="115" t="s">
        <v>109</v>
      </c>
      <c r="D117" s="131">
        <v>0.5</v>
      </c>
      <c r="E117" s="117" t="s">
        <v>101</v>
      </c>
      <c r="F117" s="118">
        <f t="shared" si="32"/>
        <v>3.7931710691730429</v>
      </c>
      <c r="G117" s="118">
        <f t="shared" si="32"/>
        <v>3.1589180813219682</v>
      </c>
      <c r="H117" s="118" t="s">
        <v>108</v>
      </c>
      <c r="I117" s="118">
        <f>F117*$D$18</f>
        <v>8193.2495094137721</v>
      </c>
      <c r="J117" s="120">
        <f>G117*$D$18</f>
        <v>6823.2630556554514</v>
      </c>
      <c r="L117" s="113">
        <f>F117-J35</f>
        <v>0</v>
      </c>
      <c r="M117" s="113">
        <f>G117-K35</f>
        <v>0</v>
      </c>
      <c r="O117" s="57">
        <v>1.5909582083715623</v>
      </c>
      <c r="P117" s="57">
        <v>1.2552331907606709</v>
      </c>
      <c r="R117" s="57">
        <v>2.2022128608014806</v>
      </c>
      <c r="S117" s="57">
        <v>1.9036848905612973</v>
      </c>
      <c r="T117" s="60">
        <f t="shared" si="33"/>
        <v>0.7224361625935396</v>
      </c>
      <c r="U117" s="60">
        <f t="shared" si="33"/>
        <v>0.65937025449131359</v>
      </c>
    </row>
    <row r="118" spans="2:21" s="59" customFormat="1" ht="13.2" x14ac:dyDescent="0.3">
      <c r="B118" s="114">
        <f t="shared" si="19"/>
        <v>46</v>
      </c>
      <c r="C118" s="115" t="s">
        <v>110</v>
      </c>
      <c r="D118" s="131">
        <v>0.5</v>
      </c>
      <c r="E118" s="117" t="s">
        <v>101</v>
      </c>
      <c r="F118" s="118">
        <f t="shared" si="32"/>
        <v>1.4174481363751898</v>
      </c>
      <c r="G118" s="118">
        <f t="shared" si="32"/>
        <v>1.1804378093361039</v>
      </c>
      <c r="H118" s="118" t="s">
        <v>108</v>
      </c>
      <c r="I118" s="118">
        <f>F118*$D$15</f>
        <v>3095.7067298434145</v>
      </c>
      <c r="J118" s="120">
        <f>G118*$D$15</f>
        <v>2578.0761755900508</v>
      </c>
      <c r="L118" s="113">
        <f>F118-J32</f>
        <v>0</v>
      </c>
      <c r="M118" s="113">
        <f>G118-K32</f>
        <v>0</v>
      </c>
      <c r="O118" s="57">
        <v>0.6408223448848126</v>
      </c>
      <c r="P118" s="57">
        <v>0.50908999768888297</v>
      </c>
      <c r="R118" s="57">
        <v>0.77662579149037725</v>
      </c>
      <c r="S118" s="57">
        <v>0.6713478116472209</v>
      </c>
      <c r="T118" s="60">
        <f t="shared" si="33"/>
        <v>0.82513657401854745</v>
      </c>
      <c r="U118" s="60">
        <f t="shared" si="33"/>
        <v>0.75831035546206405</v>
      </c>
    </row>
    <row r="119" spans="2:21" s="59" customFormat="1" ht="13.8" thickBot="1" x14ac:dyDescent="0.35">
      <c r="B119" s="114">
        <f t="shared" si="19"/>
        <v>47</v>
      </c>
      <c r="C119" s="115" t="s">
        <v>111</v>
      </c>
      <c r="D119" s="131">
        <v>0.5</v>
      </c>
      <c r="E119" s="117" t="s">
        <v>101</v>
      </c>
      <c r="F119" s="118">
        <f t="shared" si="32"/>
        <v>1.7368730685160776</v>
      </c>
      <c r="G119" s="118">
        <f t="shared" si="32"/>
        <v>1.4464519635526907</v>
      </c>
      <c r="H119" s="118" t="s">
        <v>108</v>
      </c>
      <c r="I119" s="118">
        <f>F119*$D$16</f>
        <v>3835.0157352834995</v>
      </c>
      <c r="J119" s="120">
        <f>G119*$D$16</f>
        <v>3193.7659355243409</v>
      </c>
      <c r="L119" s="113">
        <f>F119-J33</f>
        <v>0</v>
      </c>
      <c r="M119" s="113">
        <f>G119-K33</f>
        <v>0</v>
      </c>
      <c r="O119" s="57">
        <v>0.93896985808075839</v>
      </c>
      <c r="P119" s="57">
        <v>0.75671106117540898</v>
      </c>
      <c r="R119" s="57">
        <v>0.7979032104353192</v>
      </c>
      <c r="S119" s="57">
        <v>0.68974090237728169</v>
      </c>
      <c r="T119" s="60">
        <f t="shared" si="33"/>
        <v>1.1767966913787404</v>
      </c>
      <c r="U119" s="60">
        <f t="shared" si="33"/>
        <v>1.0970946605708112</v>
      </c>
    </row>
    <row r="120" spans="2:21" s="59" customFormat="1" ht="13.8" thickBot="1" x14ac:dyDescent="0.35">
      <c r="B120" s="207" t="s">
        <v>155</v>
      </c>
      <c r="C120" s="208"/>
      <c r="D120" s="208"/>
      <c r="E120" s="208"/>
      <c r="F120" s="208"/>
      <c r="G120" s="208"/>
      <c r="H120" s="208"/>
      <c r="I120" s="208"/>
      <c r="J120" s="209"/>
      <c r="L120" s="113"/>
      <c r="M120" s="113"/>
    </row>
    <row r="121" spans="2:21" s="59" customFormat="1" ht="13.2" x14ac:dyDescent="0.3">
      <c r="B121" s="114">
        <f>B119+1</f>
        <v>48</v>
      </c>
      <c r="C121" s="115" t="s">
        <v>113</v>
      </c>
      <c r="D121" s="131">
        <v>0.5</v>
      </c>
      <c r="E121" s="117" t="s">
        <v>101</v>
      </c>
      <c r="F121" s="118">
        <f t="shared" ref="F121:G132" si="34">F76*$D121</f>
        <v>2.6751838066799358</v>
      </c>
      <c r="G121" s="118">
        <f t="shared" si="34"/>
        <v>2.2278685415639146</v>
      </c>
      <c r="H121" s="118" t="s">
        <v>114</v>
      </c>
      <c r="I121" s="118">
        <f>F121*$D$25</f>
        <v>1990.3367521698722</v>
      </c>
      <c r="J121" s="120">
        <f>G121*$D$25</f>
        <v>1657.5341949235524</v>
      </c>
      <c r="L121" s="113">
        <f t="shared" ref="L121:M126" si="35">F121-J42</f>
        <v>0</v>
      </c>
      <c r="M121" s="113">
        <f t="shared" si="35"/>
        <v>0</v>
      </c>
      <c r="O121" s="57">
        <v>1.4410935078733089</v>
      </c>
      <c r="P121" s="57">
        <v>1.1610692792203856</v>
      </c>
      <c r="R121" s="57">
        <v>1.2340902988066269</v>
      </c>
      <c r="S121" s="57">
        <v>1.066799262343529</v>
      </c>
      <c r="T121" s="60">
        <f t="shared" ref="T121:U132" si="36">F121/R121-1</f>
        <v>1.1677374899282942</v>
      </c>
      <c r="U121" s="60">
        <f t="shared" si="36"/>
        <v>1.0883671560381152</v>
      </c>
    </row>
    <row r="122" spans="2:21" s="59" customFormat="1" ht="13.2" x14ac:dyDescent="0.3">
      <c r="B122" s="114">
        <f t="shared" si="19"/>
        <v>49</v>
      </c>
      <c r="C122" s="115" t="s">
        <v>115</v>
      </c>
      <c r="D122" s="131">
        <v>0.5</v>
      </c>
      <c r="E122" s="117" t="s">
        <v>101</v>
      </c>
      <c r="F122" s="118">
        <f t="shared" si="34"/>
        <v>3.8330991856906542</v>
      </c>
      <c r="G122" s="118">
        <f t="shared" si="34"/>
        <v>3.1921698505990412</v>
      </c>
      <c r="H122" s="118" t="s">
        <v>114</v>
      </c>
      <c r="I122" s="118">
        <f>F122*$D$26</f>
        <v>2759.8314136972708</v>
      </c>
      <c r="J122" s="120">
        <f>G122*$D$26</f>
        <v>2298.3622924313095</v>
      </c>
      <c r="L122" s="113">
        <f t="shared" si="35"/>
        <v>0</v>
      </c>
      <c r="M122" s="113">
        <f t="shared" si="35"/>
        <v>0</v>
      </c>
      <c r="O122" s="57">
        <v>1.9181314806458882</v>
      </c>
      <c r="P122" s="57">
        <v>1.536791684893565</v>
      </c>
      <c r="R122" s="57">
        <v>1.914967705044766</v>
      </c>
      <c r="S122" s="57">
        <v>1.6553781657054762</v>
      </c>
      <c r="T122" s="60">
        <f t="shared" si="36"/>
        <v>1.0016521300034396</v>
      </c>
      <c r="U122" s="60">
        <f t="shared" si="36"/>
        <v>0.92836290627201001</v>
      </c>
    </row>
    <row r="123" spans="2:21" s="59" customFormat="1" ht="13.2" x14ac:dyDescent="0.3">
      <c r="B123" s="114">
        <f t="shared" si="19"/>
        <v>50</v>
      </c>
      <c r="C123" s="115" t="s">
        <v>116</v>
      </c>
      <c r="D123" s="131">
        <v>0.5</v>
      </c>
      <c r="E123" s="117" t="s">
        <v>101</v>
      </c>
      <c r="F123" s="118">
        <f t="shared" si="34"/>
        <v>5.390295729877483</v>
      </c>
      <c r="G123" s="118">
        <f t="shared" si="34"/>
        <v>4.4889888524049022</v>
      </c>
      <c r="H123" s="118" t="s">
        <v>114</v>
      </c>
      <c r="I123" s="118">
        <f>F123*$D$27</f>
        <v>4010.3800230288475</v>
      </c>
      <c r="J123" s="120">
        <f>G123*$D$27</f>
        <v>3339.8077061892473</v>
      </c>
      <c r="L123" s="113">
        <f t="shared" si="35"/>
        <v>0</v>
      </c>
      <c r="M123" s="113">
        <f t="shared" si="35"/>
        <v>0</v>
      </c>
      <c r="O123" s="57">
        <v>2.4540119154755087</v>
      </c>
      <c r="P123" s="57">
        <v>1.9507423316565058</v>
      </c>
      <c r="R123" s="57">
        <v>2.9362838144019743</v>
      </c>
      <c r="S123" s="57">
        <v>2.5382465207483964</v>
      </c>
      <c r="T123" s="60">
        <f t="shared" si="36"/>
        <v>0.83575433118522002</v>
      </c>
      <c r="U123" s="60">
        <f t="shared" si="36"/>
        <v>0.76853935018153141</v>
      </c>
    </row>
    <row r="124" spans="2:21" s="59" customFormat="1" ht="13.2" x14ac:dyDescent="0.3">
      <c r="B124" s="114">
        <f t="shared" si="19"/>
        <v>51</v>
      </c>
      <c r="C124" s="115" t="s">
        <v>117</v>
      </c>
      <c r="D124" s="131">
        <v>0.5</v>
      </c>
      <c r="E124" s="117" t="s">
        <v>101</v>
      </c>
      <c r="F124" s="118">
        <f t="shared" si="34"/>
        <v>5.9492893611240358</v>
      </c>
      <c r="G124" s="118">
        <f t="shared" si="34"/>
        <v>4.9545136222839288</v>
      </c>
      <c r="H124" s="118" t="s">
        <v>114</v>
      </c>
      <c r="I124" s="118">
        <f>F124*$D$28</f>
        <v>4426.2712846762824</v>
      </c>
      <c r="J124" s="120">
        <f>G124*$D$28</f>
        <v>3686.1581349792432</v>
      </c>
      <c r="L124" s="113">
        <f t="shared" si="35"/>
        <v>0</v>
      </c>
      <c r="M124" s="113">
        <f t="shared" si="35"/>
        <v>0</v>
      </c>
      <c r="O124" s="57">
        <v>2.3853216878462771</v>
      </c>
      <c r="P124" s="57">
        <v>1.8736709249987369</v>
      </c>
      <c r="R124" s="57">
        <v>3.5639676732777588</v>
      </c>
      <c r="S124" s="57">
        <v>3.0808426972851919</v>
      </c>
      <c r="T124" s="60">
        <f t="shared" si="36"/>
        <v>0.66928825020809235</v>
      </c>
      <c r="U124" s="60">
        <f t="shared" si="36"/>
        <v>0.60816831922311287</v>
      </c>
    </row>
    <row r="125" spans="2:21" s="59" customFormat="1" ht="13.2" x14ac:dyDescent="0.3">
      <c r="B125" s="114">
        <f t="shared" si="19"/>
        <v>52</v>
      </c>
      <c r="C125" s="115" t="s">
        <v>118</v>
      </c>
      <c r="D125" s="131">
        <v>0.5</v>
      </c>
      <c r="E125" s="117" t="s">
        <v>101</v>
      </c>
      <c r="F125" s="118">
        <f t="shared" si="34"/>
        <v>3.9329194769846816</v>
      </c>
      <c r="G125" s="118">
        <f t="shared" si="34"/>
        <v>3.2752992737917248</v>
      </c>
      <c r="H125" s="118" t="s">
        <v>114</v>
      </c>
      <c r="I125" s="118">
        <f>F125*$D$29</f>
        <v>2642.9218885337059</v>
      </c>
      <c r="J125" s="120">
        <f>G125*$D$29</f>
        <v>2201.0011119880392</v>
      </c>
      <c r="L125" s="113">
        <f t="shared" si="35"/>
        <v>0</v>
      </c>
      <c r="M125" s="113">
        <f t="shared" si="35"/>
        <v>0</v>
      </c>
      <c r="O125" s="57">
        <v>1.6349582309309625</v>
      </c>
      <c r="P125" s="57">
        <v>1.2888454749451532</v>
      </c>
      <c r="R125" s="57">
        <v>2.2979612460537191</v>
      </c>
      <c r="S125" s="57">
        <v>1.9864537988465716</v>
      </c>
      <c r="T125" s="60">
        <f t="shared" si="36"/>
        <v>0.71148207296301047</v>
      </c>
      <c r="U125" s="60">
        <f t="shared" si="36"/>
        <v>0.64881724190792522</v>
      </c>
    </row>
    <row r="126" spans="2:21" s="59" customFormat="1" ht="13.2" x14ac:dyDescent="0.3">
      <c r="B126" s="114">
        <f t="shared" si="19"/>
        <v>53</v>
      </c>
      <c r="C126" s="115" t="s">
        <v>119</v>
      </c>
      <c r="D126" s="131">
        <v>0.5</v>
      </c>
      <c r="E126" s="117" t="s">
        <v>101</v>
      </c>
      <c r="F126" s="118">
        <f t="shared" si="34"/>
        <v>3.2741055544441005</v>
      </c>
      <c r="G126" s="118">
        <f t="shared" si="34"/>
        <v>2.7266450807200142</v>
      </c>
      <c r="H126" s="118" t="s">
        <v>114</v>
      </c>
      <c r="I126" s="118">
        <f>F126*$D$30</f>
        <v>2435.934532506411</v>
      </c>
      <c r="J126" s="120">
        <f>G126*$D$30</f>
        <v>2028.6239400556906</v>
      </c>
      <c r="L126" s="113">
        <f t="shared" si="35"/>
        <v>0</v>
      </c>
      <c r="M126" s="113">
        <f t="shared" si="35"/>
        <v>0</v>
      </c>
      <c r="O126" s="57">
        <v>1.5080797820139276</v>
      </c>
      <c r="P126" s="57">
        <v>1.2000185501249641</v>
      </c>
      <c r="R126" s="57">
        <v>1.7660257724301729</v>
      </c>
      <c r="S126" s="57">
        <v>1.5266265305950502</v>
      </c>
      <c r="T126" s="60">
        <f t="shared" si="36"/>
        <v>0.85393984932547506</v>
      </c>
      <c r="U126" s="60">
        <f t="shared" si="36"/>
        <v>0.78605901710434667</v>
      </c>
    </row>
    <row r="127" spans="2:21" s="59" customFormat="1" ht="13.2" x14ac:dyDescent="0.3">
      <c r="B127" s="114">
        <f t="shared" si="19"/>
        <v>54</v>
      </c>
      <c r="C127" s="115" t="s">
        <v>120</v>
      </c>
      <c r="D127" s="131">
        <v>0.5</v>
      </c>
      <c r="E127" s="117" t="s">
        <v>101</v>
      </c>
      <c r="F127" s="118">
        <f t="shared" si="34"/>
        <v>1.8366933598101052</v>
      </c>
      <c r="G127" s="118">
        <f t="shared" si="34"/>
        <v>1.529581386745374</v>
      </c>
      <c r="H127" s="118" t="s">
        <v>114</v>
      </c>
      <c r="I127" s="118">
        <f>F127*$D$19</f>
        <v>1322.4192190632757</v>
      </c>
      <c r="J127" s="120">
        <f>G127*$D$19</f>
        <v>1101.2985984566692</v>
      </c>
      <c r="L127" s="113">
        <f t="shared" ref="L127:M132" si="37">F127-J36</f>
        <v>0</v>
      </c>
      <c r="M127" s="113">
        <f t="shared" si="37"/>
        <v>0</v>
      </c>
      <c r="O127" s="57">
        <v>0.8366546693978385</v>
      </c>
      <c r="P127" s="57">
        <v>0.66510612243251432</v>
      </c>
      <c r="R127" s="57">
        <v>1.0000386904122667</v>
      </c>
      <c r="S127" s="57">
        <v>0.8644752643128597</v>
      </c>
      <c r="T127" s="60">
        <f t="shared" si="36"/>
        <v>0.83662230013613481</v>
      </c>
      <c r="U127" s="60">
        <f t="shared" si="36"/>
        <v>0.769375538999584</v>
      </c>
    </row>
    <row r="128" spans="2:21" s="59" customFormat="1" ht="13.2" x14ac:dyDescent="0.3">
      <c r="B128" s="114">
        <f t="shared" si="19"/>
        <v>55</v>
      </c>
      <c r="C128" s="115" t="s">
        <v>121</v>
      </c>
      <c r="D128" s="131">
        <v>0.5</v>
      </c>
      <c r="E128" s="117" t="s">
        <v>101</v>
      </c>
      <c r="F128" s="118">
        <f t="shared" si="34"/>
        <v>1.6370527772220502</v>
      </c>
      <c r="G128" s="118">
        <f t="shared" si="34"/>
        <v>1.3633225403600071</v>
      </c>
      <c r="H128" s="118" t="s">
        <v>114</v>
      </c>
      <c r="I128" s="118">
        <f>F128*$D$20</f>
        <v>1217.9672662532055</v>
      </c>
      <c r="J128" s="120">
        <f>G128*$D$20</f>
        <v>1014.3119700278453</v>
      </c>
      <c r="L128" s="113">
        <f t="shared" si="37"/>
        <v>0</v>
      </c>
      <c r="M128" s="113">
        <f t="shared" si="37"/>
        <v>0</v>
      </c>
      <c r="O128" s="57">
        <v>0.7646786004794347</v>
      </c>
      <c r="P128" s="57">
        <v>0.60920582042751248</v>
      </c>
      <c r="R128" s="57">
        <v>0.87237417674261553</v>
      </c>
      <c r="S128" s="57">
        <v>0.75411671993249463</v>
      </c>
      <c r="T128" s="60">
        <f t="shared" si="36"/>
        <v>0.87654887187822483</v>
      </c>
      <c r="U128" s="60">
        <f t="shared" si="36"/>
        <v>0.8078402246300096</v>
      </c>
    </row>
    <row r="129" spans="2:21" s="59" customFormat="1" ht="13.2" x14ac:dyDescent="0.3">
      <c r="B129" s="114">
        <f t="shared" si="19"/>
        <v>56</v>
      </c>
      <c r="C129" s="115" t="s">
        <v>122</v>
      </c>
      <c r="D129" s="131">
        <v>0.5</v>
      </c>
      <c r="E129" s="117" t="s">
        <v>101</v>
      </c>
      <c r="F129" s="118">
        <f t="shared" si="34"/>
        <v>1.4174481363751898</v>
      </c>
      <c r="G129" s="118">
        <f t="shared" si="34"/>
        <v>1.1804378093361039</v>
      </c>
      <c r="H129" s="118" t="s">
        <v>114</v>
      </c>
      <c r="I129" s="118">
        <f>F129*$D$21</f>
        <v>1020.5626581901367</v>
      </c>
      <c r="J129" s="120">
        <f>G129*$D$21</f>
        <v>849.91522272199484</v>
      </c>
      <c r="L129" s="113">
        <f t="shared" si="37"/>
        <v>0</v>
      </c>
      <c r="M129" s="113">
        <f t="shared" si="37"/>
        <v>0</v>
      </c>
      <c r="O129" s="57">
        <v>0.59826750699492881</v>
      </c>
      <c r="P129" s="57">
        <v>0.47230381622876128</v>
      </c>
      <c r="R129" s="57">
        <v>0.81918062938026104</v>
      </c>
      <c r="S129" s="57">
        <v>0.7081339931073426</v>
      </c>
      <c r="T129" s="60">
        <f t="shared" si="36"/>
        <v>0.73032428445914199</v>
      </c>
      <c r="U129" s="60">
        <f t="shared" si="36"/>
        <v>0.66696955777572309</v>
      </c>
    </row>
    <row r="130" spans="2:21" s="59" customFormat="1" ht="13.2" x14ac:dyDescent="0.3">
      <c r="B130" s="114">
        <f t="shared" si="19"/>
        <v>57</v>
      </c>
      <c r="C130" s="115" t="s">
        <v>123</v>
      </c>
      <c r="D130" s="131">
        <v>0.5</v>
      </c>
      <c r="E130" s="117" t="s">
        <v>101</v>
      </c>
      <c r="F130" s="118">
        <f t="shared" si="34"/>
        <v>2.1161901754333821</v>
      </c>
      <c r="G130" s="118">
        <f t="shared" si="34"/>
        <v>1.7623437716848875</v>
      </c>
      <c r="H130" s="118" t="s">
        <v>114</v>
      </c>
      <c r="I130" s="118">
        <f>F130*$D$22</f>
        <v>1574.4454905224363</v>
      </c>
      <c r="J130" s="120">
        <f>G130*$D$22</f>
        <v>1311.1837661335562</v>
      </c>
      <c r="L130" s="113">
        <f t="shared" si="37"/>
        <v>0</v>
      </c>
      <c r="M130" s="113">
        <f t="shared" si="37"/>
        <v>0</v>
      </c>
      <c r="O130" s="57">
        <v>1.2331772892182955</v>
      </c>
      <c r="P130" s="57">
        <v>0.99903050638736246</v>
      </c>
      <c r="R130" s="57">
        <v>0.88301288621508645</v>
      </c>
      <c r="S130" s="57">
        <v>0.76331326529752508</v>
      </c>
      <c r="T130" s="60">
        <f t="shared" si="36"/>
        <v>1.396556390591468</v>
      </c>
      <c r="U130" s="60">
        <f t="shared" si="36"/>
        <v>1.3088079977202534</v>
      </c>
    </row>
    <row r="131" spans="2:21" s="59" customFormat="1" ht="13.2" x14ac:dyDescent="0.3">
      <c r="B131" s="114">
        <f t="shared" si="19"/>
        <v>58</v>
      </c>
      <c r="C131" s="115" t="s">
        <v>124</v>
      </c>
      <c r="D131" s="131">
        <v>0.5</v>
      </c>
      <c r="E131" s="117" t="s">
        <v>101</v>
      </c>
      <c r="F131" s="118">
        <f t="shared" si="34"/>
        <v>1.7169090102572722</v>
      </c>
      <c r="G131" s="118">
        <f t="shared" si="34"/>
        <v>1.4298260789141539</v>
      </c>
      <c r="H131" s="118" t="s">
        <v>114</v>
      </c>
      <c r="I131" s="118">
        <f>F131*$D$23</f>
        <v>1277.3803036314105</v>
      </c>
      <c r="J131" s="120">
        <f>G131*$D$23</f>
        <v>1063.7906027121305</v>
      </c>
      <c r="L131" s="113">
        <f t="shared" si="37"/>
        <v>0</v>
      </c>
      <c r="M131" s="113">
        <f t="shared" si="37"/>
        <v>0</v>
      </c>
      <c r="O131" s="57">
        <v>0.78070257667983101</v>
      </c>
      <c r="P131" s="57">
        <v>0.6205300867914767</v>
      </c>
      <c r="R131" s="57">
        <v>0.93620643357744115</v>
      </c>
      <c r="S131" s="57">
        <v>0.80929599212267722</v>
      </c>
      <c r="T131" s="60">
        <f t="shared" si="36"/>
        <v>0.8339000338809921</v>
      </c>
      <c r="U131" s="60">
        <f t="shared" si="36"/>
        <v>0.76675294679750938</v>
      </c>
    </row>
    <row r="132" spans="2:21" s="59" customFormat="1" ht="13.8" thickBot="1" x14ac:dyDescent="0.35">
      <c r="B132" s="114">
        <f t="shared" ref="B132:B145" si="38">B131+1</f>
        <v>59</v>
      </c>
      <c r="C132" s="115" t="s">
        <v>125</v>
      </c>
      <c r="D132" s="131">
        <v>0.5</v>
      </c>
      <c r="E132" s="117" t="s">
        <v>101</v>
      </c>
      <c r="F132" s="118">
        <f t="shared" si="34"/>
        <v>2.1361542336921877</v>
      </c>
      <c r="G132" s="118">
        <f t="shared" si="34"/>
        <v>1.7789696563234243</v>
      </c>
      <c r="H132" s="118" t="s">
        <v>114</v>
      </c>
      <c r="I132" s="118">
        <f>F132*$D$24</f>
        <v>1538.0310482583752</v>
      </c>
      <c r="J132" s="120">
        <f>G132*$D$24</f>
        <v>1280.8581525528655</v>
      </c>
      <c r="L132" s="113">
        <f t="shared" si="37"/>
        <v>0</v>
      </c>
      <c r="M132" s="113">
        <f t="shared" si="37"/>
        <v>0</v>
      </c>
      <c r="O132" s="57">
        <v>1.1893090906422756</v>
      </c>
      <c r="P132" s="57">
        <v>0.96047711883571663</v>
      </c>
      <c r="R132" s="57">
        <v>0.94684514304991207</v>
      </c>
      <c r="S132" s="57">
        <v>0.81849253748770767</v>
      </c>
      <c r="T132" s="60">
        <f t="shared" si="36"/>
        <v>1.2560756100108996</v>
      </c>
      <c r="U132" s="60">
        <f t="shared" si="36"/>
        <v>1.1734708318585509</v>
      </c>
    </row>
    <row r="133" spans="2:21" s="59" customFormat="1" ht="13.8" thickBot="1" x14ac:dyDescent="0.35">
      <c r="B133" s="210" t="s">
        <v>156</v>
      </c>
      <c r="C133" s="211"/>
      <c r="D133" s="211"/>
      <c r="E133" s="211"/>
      <c r="F133" s="211"/>
      <c r="G133" s="211"/>
      <c r="H133" s="211"/>
      <c r="I133" s="211"/>
      <c r="J133" s="212"/>
    </row>
    <row r="134" spans="2:21" s="59" customFormat="1" ht="13.2" x14ac:dyDescent="0.3">
      <c r="B134" s="114">
        <f>B132+1</f>
        <v>60</v>
      </c>
      <c r="C134" s="115" t="s">
        <v>127</v>
      </c>
      <c r="D134" s="131">
        <v>0.5</v>
      </c>
      <c r="E134" s="117" t="s">
        <v>101</v>
      </c>
      <c r="F134" s="118">
        <f t="shared" ref="F134:G145" si="39">F89*$D134</f>
        <v>5.3703316716186764</v>
      </c>
      <c r="G134" s="118">
        <f t="shared" si="39"/>
        <v>4.4723629677663652</v>
      </c>
      <c r="H134" s="118" t="s">
        <v>128</v>
      </c>
      <c r="I134" s="118">
        <f>F134*$D$25</f>
        <v>3995.5267636842955</v>
      </c>
      <c r="J134" s="120">
        <f>G134*$D$25</f>
        <v>3327.4380480181758</v>
      </c>
      <c r="O134" s="57">
        <v>2.9021510740054226</v>
      </c>
      <c r="P134" s="57">
        <v>2.3387644430793073</v>
      </c>
      <c r="R134" s="57">
        <v>2.4681805976132538</v>
      </c>
      <c r="S134" s="57">
        <v>2.1335985246870579</v>
      </c>
      <c r="T134" s="60">
        <f t="shared" ref="T134:U145" si="40">F134/R134-1</f>
        <v>1.175826062651907</v>
      </c>
      <c r="U134" s="60">
        <f t="shared" si="40"/>
        <v>1.0961595707994509</v>
      </c>
    </row>
    <row r="135" spans="2:21" s="59" customFormat="1" ht="13.2" x14ac:dyDescent="0.3">
      <c r="B135" s="114">
        <f t="shared" si="38"/>
        <v>61</v>
      </c>
      <c r="C135" s="115" t="s">
        <v>129</v>
      </c>
      <c r="D135" s="131">
        <v>0.5</v>
      </c>
      <c r="E135" s="117" t="s">
        <v>101</v>
      </c>
      <c r="F135" s="118">
        <f t="shared" si="39"/>
        <v>7.6661983713813084</v>
      </c>
      <c r="G135" s="118">
        <f t="shared" si="39"/>
        <v>6.3843397011980825</v>
      </c>
      <c r="H135" s="118" t="s">
        <v>128</v>
      </c>
      <c r="I135" s="118">
        <f>F135*$D$26</f>
        <v>5519.6628273945416</v>
      </c>
      <c r="J135" s="120">
        <f>G135*$D$26</f>
        <v>4596.7245848626189</v>
      </c>
      <c r="O135" s="57">
        <v>3.8362629612917765</v>
      </c>
      <c r="P135" s="57">
        <v>3.07358336978713</v>
      </c>
      <c r="R135" s="57">
        <v>3.829935410089532</v>
      </c>
      <c r="S135" s="57">
        <v>3.3107563314109525</v>
      </c>
      <c r="T135" s="60">
        <f t="shared" si="40"/>
        <v>1.0016521300034396</v>
      </c>
      <c r="U135" s="60">
        <f t="shared" si="40"/>
        <v>0.92836290627201001</v>
      </c>
    </row>
    <row r="136" spans="2:21" s="59" customFormat="1" ht="13.2" x14ac:dyDescent="0.3">
      <c r="B136" s="114">
        <f t="shared" si="38"/>
        <v>62</v>
      </c>
      <c r="C136" s="115" t="s">
        <v>130</v>
      </c>
      <c r="D136" s="131">
        <v>0.5</v>
      </c>
      <c r="E136" s="117" t="s">
        <v>101</v>
      </c>
      <c r="F136" s="118">
        <f t="shared" si="39"/>
        <v>10.80055551801377</v>
      </c>
      <c r="G136" s="118">
        <f t="shared" si="39"/>
        <v>8.9946035894483405</v>
      </c>
      <c r="H136" s="118" t="s">
        <v>128</v>
      </c>
      <c r="I136" s="118">
        <f>F136*$D$27</f>
        <v>8035.6133054022448</v>
      </c>
      <c r="J136" s="120">
        <f>G136*$D$27</f>
        <v>6691.9850705495655</v>
      </c>
      <c r="O136" s="57">
        <v>4.9386265986822924</v>
      </c>
      <c r="P136" s="57">
        <v>3.9273070933165775</v>
      </c>
      <c r="R136" s="57">
        <v>5.8619289193314774</v>
      </c>
      <c r="S136" s="57">
        <v>5.067296496131763</v>
      </c>
      <c r="T136" s="60">
        <f t="shared" si="40"/>
        <v>0.84249172356827495</v>
      </c>
      <c r="U136" s="60">
        <f t="shared" si="40"/>
        <v>0.77503005721385709</v>
      </c>
    </row>
    <row r="137" spans="2:21" s="59" customFormat="1" ht="13.2" x14ac:dyDescent="0.3">
      <c r="B137" s="114">
        <f t="shared" si="38"/>
        <v>63</v>
      </c>
      <c r="C137" s="115" t="s">
        <v>131</v>
      </c>
      <c r="D137" s="131">
        <v>0.5</v>
      </c>
      <c r="E137" s="117" t="s">
        <v>101</v>
      </c>
      <c r="F137" s="118">
        <f t="shared" si="39"/>
        <v>11.878614663989268</v>
      </c>
      <c r="G137" s="118">
        <f t="shared" si="39"/>
        <v>9.8924013599293215</v>
      </c>
      <c r="H137" s="118" t="s">
        <v>128</v>
      </c>
      <c r="I137" s="118">
        <f>F137*$D$28</f>
        <v>8837.689310008016</v>
      </c>
      <c r="J137" s="120">
        <f>G137*$D$28</f>
        <v>7359.9466117874153</v>
      </c>
      <c r="O137" s="57">
        <v>4.7613180269062205</v>
      </c>
      <c r="P137" s="57">
        <v>3.7399125107239684</v>
      </c>
      <c r="R137" s="57">
        <v>7.1172966370830473</v>
      </c>
      <c r="S137" s="57">
        <v>6.1524888492053531</v>
      </c>
      <c r="T137" s="60">
        <f t="shared" si="40"/>
        <v>0.66897844359872005</v>
      </c>
      <c r="U137" s="60">
        <f t="shared" si="40"/>
        <v>0.60786985598633159</v>
      </c>
    </row>
    <row r="138" spans="2:21" s="59" customFormat="1" ht="13.2" x14ac:dyDescent="0.3">
      <c r="B138" s="114">
        <f t="shared" si="38"/>
        <v>64</v>
      </c>
      <c r="C138" s="115" t="s">
        <v>132</v>
      </c>
      <c r="D138" s="131">
        <v>0.5</v>
      </c>
      <c r="E138" s="117" t="s">
        <v>101</v>
      </c>
      <c r="F138" s="118">
        <f t="shared" si="39"/>
        <v>7.8658389539693632</v>
      </c>
      <c r="G138" s="118">
        <f t="shared" si="39"/>
        <v>6.5505985475834496</v>
      </c>
      <c r="H138" s="118" t="s">
        <v>128</v>
      </c>
      <c r="I138" s="118">
        <f>F138*$D$29</f>
        <v>5285.8437770674118</v>
      </c>
      <c r="J138" s="120">
        <f>G138*$D$29</f>
        <v>4402.0022239760783</v>
      </c>
      <c r="O138" s="57">
        <v>3.2805551713343961</v>
      </c>
      <c r="P138" s="57">
        <v>2.5868874952553376</v>
      </c>
      <c r="R138" s="57">
        <v>4.5852837826349671</v>
      </c>
      <c r="S138" s="57">
        <v>3.963711052328112</v>
      </c>
      <c r="T138" s="60">
        <f t="shared" si="40"/>
        <v>0.7154530290487715</v>
      </c>
      <c r="U138" s="60">
        <f t="shared" si="40"/>
        <v>0.65264280395411567</v>
      </c>
    </row>
    <row r="139" spans="2:21" s="59" customFormat="1" ht="13.2" x14ac:dyDescent="0.3">
      <c r="B139" s="114">
        <f t="shared" si="38"/>
        <v>65</v>
      </c>
      <c r="C139" s="115" t="s">
        <v>133</v>
      </c>
      <c r="D139" s="131">
        <v>0.5</v>
      </c>
      <c r="E139" s="117" t="s">
        <v>101</v>
      </c>
      <c r="F139" s="118">
        <f t="shared" si="39"/>
        <v>6.5482111088882009</v>
      </c>
      <c r="G139" s="118">
        <f t="shared" si="39"/>
        <v>5.4532901614400284</v>
      </c>
      <c r="H139" s="118" t="s">
        <v>128</v>
      </c>
      <c r="I139" s="118">
        <f>F139*$D$30</f>
        <v>4871.8690650128219</v>
      </c>
      <c r="J139" s="120">
        <f>G139*$D$30</f>
        <v>4057.2478801113812</v>
      </c>
      <c r="O139" s="57">
        <v>3.0161595640278551</v>
      </c>
      <c r="P139" s="57">
        <v>2.4000371002499281</v>
      </c>
      <c r="R139" s="57">
        <v>3.5320515448603458</v>
      </c>
      <c r="S139" s="57">
        <v>3.0532530611901003</v>
      </c>
      <c r="T139" s="60">
        <f t="shared" si="40"/>
        <v>0.85393984932547506</v>
      </c>
      <c r="U139" s="60">
        <f t="shared" si="40"/>
        <v>0.78605901710434667</v>
      </c>
    </row>
    <row r="140" spans="2:21" s="59" customFormat="1" ht="13.2" x14ac:dyDescent="0.3">
      <c r="B140" s="114">
        <f t="shared" si="38"/>
        <v>66</v>
      </c>
      <c r="C140" s="115" t="s">
        <v>134</v>
      </c>
      <c r="D140" s="131">
        <v>0.5</v>
      </c>
      <c r="E140" s="117" t="s">
        <v>101</v>
      </c>
      <c r="F140" s="118">
        <f t="shared" si="39"/>
        <v>3.6733867196202104</v>
      </c>
      <c r="G140" s="118">
        <f t="shared" si="39"/>
        <v>3.0591627734907481</v>
      </c>
      <c r="H140" s="118" t="s">
        <v>128</v>
      </c>
      <c r="I140" s="118">
        <f>F140*$D$19</f>
        <v>2644.8384381265514</v>
      </c>
      <c r="J140" s="120">
        <f>G140*$D$19</f>
        <v>2202.5971969133384</v>
      </c>
      <c r="O140" s="57">
        <v>1.673309338795677</v>
      </c>
      <c r="P140" s="57">
        <v>1.3302122448650286</v>
      </c>
      <c r="R140" s="57">
        <v>2.0000773808245333</v>
      </c>
      <c r="S140" s="57">
        <v>1.7289505286257194</v>
      </c>
      <c r="T140" s="60">
        <f t="shared" si="40"/>
        <v>0.83662230013613481</v>
      </c>
      <c r="U140" s="60">
        <f t="shared" si="40"/>
        <v>0.769375538999584</v>
      </c>
    </row>
    <row r="141" spans="2:21" s="59" customFormat="1" ht="13.2" x14ac:dyDescent="0.3">
      <c r="B141" s="114">
        <f t="shared" si="38"/>
        <v>67</v>
      </c>
      <c r="C141" s="115" t="s">
        <v>135</v>
      </c>
      <c r="D141" s="131">
        <v>0.5</v>
      </c>
      <c r="E141" s="117" t="s">
        <v>101</v>
      </c>
      <c r="F141" s="118">
        <f t="shared" si="39"/>
        <v>3.2741055544441005</v>
      </c>
      <c r="G141" s="118">
        <f t="shared" si="39"/>
        <v>2.7266450807200142</v>
      </c>
      <c r="H141" s="118" t="s">
        <v>128</v>
      </c>
      <c r="I141" s="118">
        <f>F141*$D$20</f>
        <v>2435.934532506411</v>
      </c>
      <c r="J141" s="120">
        <f>G141*$D$20</f>
        <v>2028.6239400556906</v>
      </c>
      <c r="O141" s="57">
        <v>1.5293572009588694</v>
      </c>
      <c r="P141" s="57">
        <v>1.218411640855025</v>
      </c>
      <c r="R141" s="57">
        <v>1.7447483534852311</v>
      </c>
      <c r="S141" s="57">
        <v>1.5082334398649893</v>
      </c>
      <c r="T141" s="60">
        <f t="shared" si="40"/>
        <v>0.87654887187822483</v>
      </c>
      <c r="U141" s="60">
        <f t="shared" si="40"/>
        <v>0.8078402246300096</v>
      </c>
    </row>
    <row r="142" spans="2:21" s="59" customFormat="1" ht="13.2" x14ac:dyDescent="0.3">
      <c r="B142" s="114">
        <f t="shared" si="38"/>
        <v>68</v>
      </c>
      <c r="C142" s="115" t="s">
        <v>136</v>
      </c>
      <c r="D142" s="131">
        <v>0.5</v>
      </c>
      <c r="E142" s="117" t="s">
        <v>101</v>
      </c>
      <c r="F142" s="118">
        <f t="shared" si="39"/>
        <v>2.8348962727503797</v>
      </c>
      <c r="G142" s="118">
        <f t="shared" si="39"/>
        <v>2.3608756186722077</v>
      </c>
      <c r="H142" s="118" t="s">
        <v>128</v>
      </c>
      <c r="I142" s="118">
        <f>F142*$D$21</f>
        <v>2041.1253163802735</v>
      </c>
      <c r="J142" s="120">
        <f>G142*$D$21</f>
        <v>1699.8304454439897</v>
      </c>
      <c r="O142" s="57">
        <v>1.1965350139898576</v>
      </c>
      <c r="P142" s="57">
        <v>0.94460763245752255</v>
      </c>
      <c r="R142" s="57">
        <v>1.6383612587605221</v>
      </c>
      <c r="S142" s="57">
        <v>1.4162679862146852</v>
      </c>
      <c r="T142" s="60">
        <f t="shared" si="40"/>
        <v>0.73032428445914199</v>
      </c>
      <c r="U142" s="60">
        <f t="shared" si="40"/>
        <v>0.66696955777572309</v>
      </c>
    </row>
    <row r="143" spans="2:21" s="59" customFormat="1" ht="13.2" x14ac:dyDescent="0.3">
      <c r="B143" s="114">
        <f t="shared" si="38"/>
        <v>69</v>
      </c>
      <c r="C143" s="115" t="s">
        <v>137</v>
      </c>
      <c r="D143" s="131">
        <v>0.5</v>
      </c>
      <c r="E143" s="117" t="s">
        <v>101</v>
      </c>
      <c r="F143" s="118">
        <f t="shared" si="39"/>
        <v>4.2523444091255689</v>
      </c>
      <c r="G143" s="118">
        <f t="shared" si="39"/>
        <v>3.5413134280083116</v>
      </c>
      <c r="H143" s="118" t="s">
        <v>128</v>
      </c>
      <c r="I143" s="118">
        <f>F143*$D$22</f>
        <v>3163.7442403894233</v>
      </c>
      <c r="J143" s="120">
        <f>G143*$D$22</f>
        <v>2634.7371904381839</v>
      </c>
      <c r="O143" s="57">
        <v>2.4863186366953958</v>
      </c>
      <c r="P143" s="57">
        <v>2.0146868974132612</v>
      </c>
      <c r="R143" s="57">
        <v>1.7660257724301729</v>
      </c>
      <c r="S143" s="57">
        <v>1.5266265305950502</v>
      </c>
      <c r="T143" s="60">
        <f t="shared" si="40"/>
        <v>1.4078609018678421</v>
      </c>
      <c r="U143" s="60">
        <f t="shared" si="40"/>
        <v>1.3196986014830849</v>
      </c>
    </row>
    <row r="144" spans="2:21" s="59" customFormat="1" ht="13.2" x14ac:dyDescent="0.3">
      <c r="B144" s="114">
        <f t="shared" si="38"/>
        <v>70</v>
      </c>
      <c r="C144" s="115" t="s">
        <v>138</v>
      </c>
      <c r="D144" s="131">
        <v>0.5</v>
      </c>
      <c r="E144" s="117" t="s">
        <v>101</v>
      </c>
      <c r="F144" s="118">
        <f t="shared" si="39"/>
        <v>3.45378207877335</v>
      </c>
      <c r="G144" s="118">
        <f t="shared" si="39"/>
        <v>2.8762780424668448</v>
      </c>
      <c r="H144" s="118" t="s">
        <v>128</v>
      </c>
      <c r="I144" s="118">
        <f>F144*$D$23</f>
        <v>2569.6138666073725</v>
      </c>
      <c r="J144" s="120">
        <f>G144*$D$23</f>
        <v>2139.9508635953325</v>
      </c>
      <c r="O144" s="57">
        <v>1.5813692116184677</v>
      </c>
      <c r="P144" s="57">
        <v>1.2576860582214904</v>
      </c>
      <c r="R144" s="57">
        <v>1.8724128671548823</v>
      </c>
      <c r="S144" s="57">
        <v>1.6185919842453544</v>
      </c>
      <c r="T144" s="60">
        <f t="shared" si="40"/>
        <v>0.84456224338030039</v>
      </c>
      <c r="U144" s="60">
        <f t="shared" si="40"/>
        <v>0.77702476625563466</v>
      </c>
    </row>
    <row r="145" spans="2:21" s="59" customFormat="1" ht="13.8" thickBot="1" x14ac:dyDescent="0.35">
      <c r="B145" s="138">
        <f t="shared" si="38"/>
        <v>71</v>
      </c>
      <c r="C145" s="139" t="s">
        <v>157</v>
      </c>
      <c r="D145" s="140">
        <v>0.5</v>
      </c>
      <c r="E145" s="141" t="s">
        <v>101</v>
      </c>
      <c r="F145" s="142">
        <f t="shared" si="39"/>
        <v>4.2922725256431802</v>
      </c>
      <c r="G145" s="142">
        <f t="shared" si="39"/>
        <v>3.5745651972853847</v>
      </c>
      <c r="H145" s="142" t="s">
        <v>128</v>
      </c>
      <c r="I145" s="142">
        <f>F145*$D$24</f>
        <v>3090.4362184630895</v>
      </c>
      <c r="J145" s="143">
        <f>G145*$D$24</f>
        <v>2573.6869420454768</v>
      </c>
      <c r="O145" s="57">
        <v>2.4092209490158272</v>
      </c>
      <c r="P145" s="57">
        <v>1.9467766676749998</v>
      </c>
      <c r="R145" s="57">
        <v>1.8830515766273532</v>
      </c>
      <c r="S145" s="57">
        <v>1.6277885296103849</v>
      </c>
      <c r="T145" s="60">
        <f t="shared" si="40"/>
        <v>1.2794237709255269</v>
      </c>
      <c r="U145" s="60">
        <f t="shared" si="40"/>
        <v>1.1959641146635707</v>
      </c>
    </row>
    <row r="146" spans="2:21" s="59" customFormat="1" ht="13.8" thickBot="1" x14ac:dyDescent="0.35">
      <c r="B146" s="213" t="s">
        <v>158</v>
      </c>
      <c r="C146" s="214"/>
      <c r="D146" s="214"/>
      <c r="E146" s="214"/>
      <c r="F146" s="214"/>
      <c r="G146" s="214"/>
      <c r="H146" s="214"/>
      <c r="I146" s="214"/>
      <c r="J146" s="215"/>
    </row>
    <row r="147" spans="2:21" s="59" customFormat="1" ht="13.2" x14ac:dyDescent="0.3">
      <c r="B147" s="132">
        <f>B145+1</f>
        <v>72</v>
      </c>
      <c r="C147" s="133" t="s">
        <v>141</v>
      </c>
      <c r="D147" s="134">
        <v>0.5</v>
      </c>
      <c r="E147" s="135" t="s">
        <v>101</v>
      </c>
      <c r="F147" s="136">
        <f>F134</f>
        <v>5.3703316716186764</v>
      </c>
      <c r="G147" s="136">
        <f>G134</f>
        <v>4.4723629677663652</v>
      </c>
      <c r="H147" s="136" t="s">
        <v>101</v>
      </c>
      <c r="I147" s="136">
        <f t="shared" ref="I147:J158" si="41">I134</f>
        <v>3995.5267636842955</v>
      </c>
      <c r="J147" s="144">
        <f t="shared" si="41"/>
        <v>3327.4380480181758</v>
      </c>
      <c r="O147" s="57">
        <v>2.9021510740054226</v>
      </c>
      <c r="P147" s="57">
        <v>2.3387644430793073</v>
      </c>
      <c r="R147" s="57">
        <v>2.4681805976132538</v>
      </c>
      <c r="S147" s="57">
        <v>2.1335985246870579</v>
      </c>
      <c r="T147" s="60">
        <f t="shared" ref="T147:U158" si="42">F147/R147-1</f>
        <v>1.175826062651907</v>
      </c>
      <c r="U147" s="60">
        <f t="shared" si="42"/>
        <v>1.0961595707994509</v>
      </c>
    </row>
    <row r="148" spans="2:21" s="59" customFormat="1" ht="13.2" x14ac:dyDescent="0.3">
      <c r="B148" s="114">
        <f>B147+1</f>
        <v>73</v>
      </c>
      <c r="C148" s="115" t="s">
        <v>142</v>
      </c>
      <c r="D148" s="131">
        <v>0.5</v>
      </c>
      <c r="E148" s="117" t="s">
        <v>101</v>
      </c>
      <c r="F148" s="118">
        <f t="shared" ref="F148:G158" si="43">F135</f>
        <v>7.6661983713813084</v>
      </c>
      <c r="G148" s="118">
        <f t="shared" si="43"/>
        <v>6.3843397011980825</v>
      </c>
      <c r="H148" s="118" t="s">
        <v>101</v>
      </c>
      <c r="I148" s="118">
        <f t="shared" si="41"/>
        <v>5519.6628273945416</v>
      </c>
      <c r="J148" s="145">
        <f t="shared" si="41"/>
        <v>4596.7245848626189</v>
      </c>
      <c r="O148" s="57">
        <v>3.8362629612917765</v>
      </c>
      <c r="P148" s="57">
        <v>3.07358336978713</v>
      </c>
      <c r="R148" s="57">
        <v>3.829935410089532</v>
      </c>
      <c r="S148" s="57">
        <v>3.3107563314109525</v>
      </c>
      <c r="T148" s="60">
        <f t="shared" si="42"/>
        <v>1.0016521300034396</v>
      </c>
      <c r="U148" s="60">
        <f t="shared" si="42"/>
        <v>0.92836290627201001</v>
      </c>
    </row>
    <row r="149" spans="2:21" s="59" customFormat="1" ht="13.2" x14ac:dyDescent="0.3">
      <c r="B149" s="114">
        <f t="shared" ref="B149:B159" si="44">B148+1</f>
        <v>74</v>
      </c>
      <c r="C149" s="115" t="s">
        <v>143</v>
      </c>
      <c r="D149" s="131">
        <v>0.5</v>
      </c>
      <c r="E149" s="117" t="s">
        <v>101</v>
      </c>
      <c r="F149" s="118">
        <f t="shared" si="43"/>
        <v>10.80055551801377</v>
      </c>
      <c r="G149" s="118">
        <f t="shared" si="43"/>
        <v>8.9946035894483405</v>
      </c>
      <c r="H149" s="118" t="s">
        <v>101</v>
      </c>
      <c r="I149" s="118">
        <f t="shared" si="41"/>
        <v>8035.6133054022448</v>
      </c>
      <c r="J149" s="145">
        <f t="shared" si="41"/>
        <v>6691.9850705495655</v>
      </c>
      <c r="O149" s="57">
        <v>4.9386265986822924</v>
      </c>
      <c r="P149" s="57">
        <v>3.9273070933165775</v>
      </c>
      <c r="R149" s="57">
        <v>5.8619289193314774</v>
      </c>
      <c r="S149" s="57">
        <v>5.067296496131763</v>
      </c>
      <c r="T149" s="60">
        <f t="shared" si="42"/>
        <v>0.84249172356827495</v>
      </c>
      <c r="U149" s="60">
        <f t="shared" si="42"/>
        <v>0.77503005721385709</v>
      </c>
    </row>
    <row r="150" spans="2:21" s="59" customFormat="1" ht="13.2" x14ac:dyDescent="0.3">
      <c r="B150" s="114">
        <f t="shared" si="44"/>
        <v>75</v>
      </c>
      <c r="C150" s="115" t="s">
        <v>144</v>
      </c>
      <c r="D150" s="131">
        <v>0.5</v>
      </c>
      <c r="E150" s="117" t="s">
        <v>101</v>
      </c>
      <c r="F150" s="118">
        <f t="shared" si="43"/>
        <v>11.878614663989268</v>
      </c>
      <c r="G150" s="118">
        <f t="shared" si="43"/>
        <v>9.8924013599293215</v>
      </c>
      <c r="H150" s="118" t="s">
        <v>101</v>
      </c>
      <c r="I150" s="118">
        <f t="shared" si="41"/>
        <v>8837.689310008016</v>
      </c>
      <c r="J150" s="145">
        <f t="shared" si="41"/>
        <v>7359.9466117874153</v>
      </c>
      <c r="O150" s="57">
        <v>4.7613180269062205</v>
      </c>
      <c r="P150" s="57">
        <v>3.7399125107239684</v>
      </c>
      <c r="R150" s="57">
        <v>7.1172966370830473</v>
      </c>
      <c r="S150" s="57">
        <v>6.1524888492053531</v>
      </c>
      <c r="T150" s="60">
        <f t="shared" si="42"/>
        <v>0.66897844359872005</v>
      </c>
      <c r="U150" s="60">
        <f t="shared" si="42"/>
        <v>0.60786985598633159</v>
      </c>
    </row>
    <row r="151" spans="2:21" s="59" customFormat="1" ht="13.2" x14ac:dyDescent="0.3">
      <c r="B151" s="114">
        <f t="shared" si="44"/>
        <v>76</v>
      </c>
      <c r="C151" s="115" t="s">
        <v>145</v>
      </c>
      <c r="D151" s="131">
        <v>0.5</v>
      </c>
      <c r="E151" s="117" t="s">
        <v>101</v>
      </c>
      <c r="F151" s="118">
        <f t="shared" si="43"/>
        <v>7.8658389539693632</v>
      </c>
      <c r="G151" s="118">
        <f t="shared" si="43"/>
        <v>6.5505985475834496</v>
      </c>
      <c r="H151" s="118" t="s">
        <v>101</v>
      </c>
      <c r="I151" s="118">
        <f t="shared" si="41"/>
        <v>5285.8437770674118</v>
      </c>
      <c r="J151" s="145">
        <f t="shared" si="41"/>
        <v>4402.0022239760783</v>
      </c>
      <c r="O151" s="57">
        <v>3.2805551713343961</v>
      </c>
      <c r="P151" s="57">
        <v>2.5868874952553376</v>
      </c>
      <c r="R151" s="57">
        <v>4.5852837826349671</v>
      </c>
      <c r="S151" s="57">
        <v>3.963711052328112</v>
      </c>
      <c r="T151" s="60">
        <f t="shared" si="42"/>
        <v>0.7154530290487715</v>
      </c>
      <c r="U151" s="60">
        <f t="shared" si="42"/>
        <v>0.65264280395411567</v>
      </c>
    </row>
    <row r="152" spans="2:21" s="59" customFormat="1" ht="13.2" x14ac:dyDescent="0.3">
      <c r="B152" s="114">
        <f t="shared" si="44"/>
        <v>77</v>
      </c>
      <c r="C152" s="115" t="s">
        <v>146</v>
      </c>
      <c r="D152" s="131">
        <v>0.5</v>
      </c>
      <c r="E152" s="117" t="s">
        <v>101</v>
      </c>
      <c r="F152" s="118">
        <f t="shared" si="43"/>
        <v>6.5482111088882009</v>
      </c>
      <c r="G152" s="118">
        <f t="shared" si="43"/>
        <v>5.4532901614400284</v>
      </c>
      <c r="H152" s="118" t="s">
        <v>101</v>
      </c>
      <c r="I152" s="118">
        <f t="shared" si="41"/>
        <v>4871.8690650128219</v>
      </c>
      <c r="J152" s="145">
        <f t="shared" si="41"/>
        <v>4057.2478801113812</v>
      </c>
      <c r="O152" s="57">
        <v>3.0161595640278551</v>
      </c>
      <c r="P152" s="57">
        <v>2.4000371002499281</v>
      </c>
      <c r="R152" s="57">
        <v>3.5320515448603458</v>
      </c>
      <c r="S152" s="57">
        <v>3.0532530611901003</v>
      </c>
      <c r="T152" s="60">
        <f t="shared" si="42"/>
        <v>0.85393984932547506</v>
      </c>
      <c r="U152" s="60">
        <f t="shared" si="42"/>
        <v>0.78605901710434667</v>
      </c>
    </row>
    <row r="153" spans="2:21" s="59" customFormat="1" ht="13.2" x14ac:dyDescent="0.3">
      <c r="B153" s="114">
        <f t="shared" si="44"/>
        <v>78</v>
      </c>
      <c r="C153" s="115" t="s">
        <v>147</v>
      </c>
      <c r="D153" s="131">
        <v>0.5</v>
      </c>
      <c r="E153" s="117" t="s">
        <v>101</v>
      </c>
      <c r="F153" s="118">
        <f t="shared" si="43"/>
        <v>3.6733867196202104</v>
      </c>
      <c r="G153" s="118">
        <f t="shared" si="43"/>
        <v>3.0591627734907481</v>
      </c>
      <c r="H153" s="118" t="s">
        <v>101</v>
      </c>
      <c r="I153" s="118">
        <f t="shared" si="41"/>
        <v>2644.8384381265514</v>
      </c>
      <c r="J153" s="145">
        <f t="shared" si="41"/>
        <v>2202.5971969133384</v>
      </c>
      <c r="O153" s="57">
        <v>1.673309338795677</v>
      </c>
      <c r="P153" s="57">
        <v>1.3302122448650286</v>
      </c>
      <c r="R153" s="57">
        <v>2.0000773808245333</v>
      </c>
      <c r="S153" s="57">
        <v>1.7289505286257194</v>
      </c>
      <c r="T153" s="60">
        <f t="shared" si="42"/>
        <v>0.83662230013613481</v>
      </c>
      <c r="U153" s="60">
        <f t="shared" si="42"/>
        <v>0.769375538999584</v>
      </c>
    </row>
    <row r="154" spans="2:21" s="59" customFormat="1" ht="13.2" x14ac:dyDescent="0.3">
      <c r="B154" s="114">
        <f t="shared" si="44"/>
        <v>79</v>
      </c>
      <c r="C154" s="115" t="s">
        <v>148</v>
      </c>
      <c r="D154" s="131">
        <v>0.5</v>
      </c>
      <c r="E154" s="117" t="s">
        <v>101</v>
      </c>
      <c r="F154" s="118">
        <f t="shared" si="43"/>
        <v>3.2741055544441005</v>
      </c>
      <c r="G154" s="118">
        <f t="shared" si="43"/>
        <v>2.7266450807200142</v>
      </c>
      <c r="H154" s="118" t="s">
        <v>101</v>
      </c>
      <c r="I154" s="118">
        <f t="shared" si="41"/>
        <v>2435.934532506411</v>
      </c>
      <c r="J154" s="145">
        <f t="shared" si="41"/>
        <v>2028.6239400556906</v>
      </c>
      <c r="O154" s="57">
        <v>1.5293572009588694</v>
      </c>
      <c r="P154" s="57">
        <v>1.218411640855025</v>
      </c>
      <c r="R154" s="57">
        <v>1.7447483534852311</v>
      </c>
      <c r="S154" s="57">
        <v>1.5082334398649893</v>
      </c>
      <c r="T154" s="60">
        <f t="shared" si="42"/>
        <v>0.87654887187822483</v>
      </c>
      <c r="U154" s="60">
        <f t="shared" si="42"/>
        <v>0.8078402246300096</v>
      </c>
    </row>
    <row r="155" spans="2:21" s="59" customFormat="1" ht="13.2" x14ac:dyDescent="0.3">
      <c r="B155" s="114">
        <f t="shared" si="44"/>
        <v>80</v>
      </c>
      <c r="C155" s="115" t="s">
        <v>149</v>
      </c>
      <c r="D155" s="131">
        <v>0.5</v>
      </c>
      <c r="E155" s="117" t="s">
        <v>101</v>
      </c>
      <c r="F155" s="118">
        <f t="shared" si="43"/>
        <v>2.8348962727503797</v>
      </c>
      <c r="G155" s="118">
        <f t="shared" si="43"/>
        <v>2.3608756186722077</v>
      </c>
      <c r="H155" s="118" t="s">
        <v>101</v>
      </c>
      <c r="I155" s="118">
        <f t="shared" si="41"/>
        <v>2041.1253163802735</v>
      </c>
      <c r="J155" s="145">
        <f t="shared" si="41"/>
        <v>1699.8304454439897</v>
      </c>
      <c r="O155" s="57">
        <v>1.1965350139898576</v>
      </c>
      <c r="P155" s="57">
        <v>0.94460763245752255</v>
      </c>
      <c r="R155" s="57">
        <v>1.6383612587605221</v>
      </c>
      <c r="S155" s="57">
        <v>1.4162679862146852</v>
      </c>
      <c r="T155" s="60">
        <f t="shared" si="42"/>
        <v>0.73032428445914199</v>
      </c>
      <c r="U155" s="60">
        <f t="shared" si="42"/>
        <v>0.66696955777572309</v>
      </c>
    </row>
    <row r="156" spans="2:21" s="59" customFormat="1" ht="13.2" x14ac:dyDescent="0.3">
      <c r="B156" s="114">
        <f t="shared" si="44"/>
        <v>81</v>
      </c>
      <c r="C156" s="115" t="s">
        <v>150</v>
      </c>
      <c r="D156" s="131">
        <v>0.5</v>
      </c>
      <c r="E156" s="117" t="s">
        <v>101</v>
      </c>
      <c r="F156" s="118">
        <f t="shared" si="43"/>
        <v>4.2523444091255689</v>
      </c>
      <c r="G156" s="118">
        <f t="shared" si="43"/>
        <v>3.5413134280083116</v>
      </c>
      <c r="H156" s="118" t="s">
        <v>101</v>
      </c>
      <c r="I156" s="118">
        <f t="shared" si="41"/>
        <v>3163.7442403894233</v>
      </c>
      <c r="J156" s="145">
        <f t="shared" si="41"/>
        <v>2634.7371904381839</v>
      </c>
      <c r="O156" s="57">
        <v>2.4863186366953958</v>
      </c>
      <c r="P156" s="57">
        <v>2.0146868974132612</v>
      </c>
      <c r="R156" s="57">
        <v>1.7660257724301729</v>
      </c>
      <c r="S156" s="57">
        <v>1.5266265305950502</v>
      </c>
      <c r="T156" s="60">
        <f t="shared" si="42"/>
        <v>1.4078609018678421</v>
      </c>
      <c r="U156" s="60">
        <f t="shared" si="42"/>
        <v>1.3196986014830849</v>
      </c>
    </row>
    <row r="157" spans="2:21" s="59" customFormat="1" ht="13.2" x14ac:dyDescent="0.3">
      <c r="B157" s="114">
        <f t="shared" si="44"/>
        <v>82</v>
      </c>
      <c r="C157" s="115" t="s">
        <v>151</v>
      </c>
      <c r="D157" s="131">
        <v>0.5</v>
      </c>
      <c r="E157" s="117" t="s">
        <v>101</v>
      </c>
      <c r="F157" s="118">
        <f t="shared" si="43"/>
        <v>3.45378207877335</v>
      </c>
      <c r="G157" s="118">
        <f t="shared" si="43"/>
        <v>2.8762780424668448</v>
      </c>
      <c r="H157" s="118" t="s">
        <v>101</v>
      </c>
      <c r="I157" s="118">
        <f t="shared" si="41"/>
        <v>2569.6138666073725</v>
      </c>
      <c r="J157" s="145">
        <f t="shared" si="41"/>
        <v>2139.9508635953325</v>
      </c>
      <c r="O157" s="57">
        <v>1.5813692116184677</v>
      </c>
      <c r="P157" s="57">
        <v>1.2576860582214904</v>
      </c>
      <c r="R157" s="57">
        <v>1.8724128671548823</v>
      </c>
      <c r="S157" s="57">
        <v>1.6185919842453544</v>
      </c>
      <c r="T157" s="60">
        <f t="shared" si="42"/>
        <v>0.84456224338030039</v>
      </c>
      <c r="U157" s="60">
        <f t="shared" si="42"/>
        <v>0.77702476625563466</v>
      </c>
    </row>
    <row r="158" spans="2:21" s="59" customFormat="1" ht="13.8" thickBot="1" x14ac:dyDescent="0.35">
      <c r="B158" s="138">
        <f t="shared" si="44"/>
        <v>83</v>
      </c>
      <c r="C158" s="139" t="s">
        <v>152</v>
      </c>
      <c r="D158" s="140">
        <v>0.5</v>
      </c>
      <c r="E158" s="141" t="s">
        <v>101</v>
      </c>
      <c r="F158" s="142">
        <f t="shared" si="43"/>
        <v>4.2922725256431802</v>
      </c>
      <c r="G158" s="142">
        <f t="shared" si="43"/>
        <v>3.5745651972853847</v>
      </c>
      <c r="H158" s="142" t="s">
        <v>101</v>
      </c>
      <c r="I158" s="142">
        <f t="shared" si="41"/>
        <v>3090.4362184630895</v>
      </c>
      <c r="J158" s="146">
        <f t="shared" si="41"/>
        <v>2573.6869420454768</v>
      </c>
      <c r="O158" s="57">
        <v>2.4092209490158272</v>
      </c>
      <c r="P158" s="57">
        <v>1.9467766676749998</v>
      </c>
      <c r="R158" s="57">
        <v>1.8830515766273532</v>
      </c>
      <c r="S158" s="57">
        <v>1.6277885296103849</v>
      </c>
      <c r="T158" s="60">
        <f t="shared" si="42"/>
        <v>1.2794237709255269</v>
      </c>
      <c r="U158" s="60">
        <f t="shared" si="42"/>
        <v>1.1959641146635707</v>
      </c>
    </row>
    <row r="159" spans="2:21" ht="15.6" customHeight="1" thickBot="1" x14ac:dyDescent="0.35">
      <c r="B159" s="147">
        <f t="shared" si="44"/>
        <v>84</v>
      </c>
      <c r="C159" s="148" t="s">
        <v>159</v>
      </c>
      <c r="D159" s="149"/>
      <c r="E159" s="150" t="s">
        <v>160</v>
      </c>
      <c r="F159" s="216">
        <f>D170</f>
        <v>1.6263585236842144</v>
      </c>
      <c r="G159" s="217"/>
      <c r="H159" s="149"/>
      <c r="I159" s="149"/>
      <c r="J159" s="151"/>
    </row>
    <row r="160" spans="2:21" ht="15.6" customHeight="1" thickTop="1" x14ac:dyDescent="0.3">
      <c r="B160" s="152"/>
      <c r="C160" s="153"/>
      <c r="D160" s="154"/>
      <c r="E160" s="155"/>
      <c r="F160" s="156"/>
      <c r="G160" s="156"/>
      <c r="H160" s="154"/>
      <c r="I160" s="154"/>
      <c r="J160" s="154"/>
    </row>
    <row r="161" spans="2:28" ht="15.6" customHeight="1" x14ac:dyDescent="0.3">
      <c r="B161" s="152"/>
      <c r="C161" s="153"/>
      <c r="D161" s="154"/>
      <c r="E161" s="155"/>
      <c r="F161" s="156"/>
      <c r="G161" s="156">
        <v>1046519.0059337456</v>
      </c>
      <c r="H161" s="154">
        <v>887475.59016689844</v>
      </c>
      <c r="I161" s="157">
        <f>H161/G161-1</f>
        <v>-0.15197374807822284</v>
      </c>
      <c r="J161" s="154"/>
    </row>
    <row r="162" spans="2:28" ht="15.6" customHeight="1" x14ac:dyDescent="0.3">
      <c r="B162" s="152"/>
      <c r="C162" s="153"/>
      <c r="D162" s="154"/>
      <c r="E162" s="155"/>
      <c r="F162" s="156"/>
      <c r="G162" s="156"/>
      <c r="H162" s="154"/>
      <c r="I162" s="154"/>
      <c r="J162" s="154"/>
    </row>
    <row r="163" spans="2:28" ht="15.6" customHeight="1" x14ac:dyDescent="0.3">
      <c r="B163" s="152"/>
      <c r="C163" s="153"/>
      <c r="D163" s="154"/>
      <c r="E163" s="155" t="s">
        <v>161</v>
      </c>
      <c r="F163" s="156"/>
      <c r="G163" s="156"/>
      <c r="H163" s="154"/>
      <c r="I163" s="154"/>
      <c r="J163" s="154"/>
    </row>
    <row r="164" spans="2:28" ht="15.6" customHeight="1" x14ac:dyDescent="0.3">
      <c r="B164" s="152"/>
      <c r="C164" s="153"/>
      <c r="D164" s="158" t="s">
        <v>162</v>
      </c>
      <c r="E164" s="155" t="s">
        <v>98</v>
      </c>
      <c r="F164" s="159" t="s">
        <v>98</v>
      </c>
      <c r="G164" s="156"/>
      <c r="H164" s="154"/>
      <c r="I164" s="154"/>
      <c r="J164" s="154"/>
    </row>
    <row r="165" spans="2:28" ht="15.6" customHeight="1" x14ac:dyDescent="0.3">
      <c r="B165" s="152"/>
      <c r="C165" s="153"/>
      <c r="D165" s="154">
        <f>D168-D169</f>
        <v>24798419.792385429</v>
      </c>
      <c r="E165" s="154"/>
      <c r="F165" s="155"/>
      <c r="G165" s="156"/>
      <c r="H165" s="156"/>
      <c r="I165" s="154"/>
      <c r="J165" s="154"/>
      <c r="K165" s="154"/>
      <c r="AB165" s="59"/>
    </row>
    <row r="166" spans="2:28" s="59" customFormat="1" ht="12" customHeight="1" x14ac:dyDescent="0.3">
      <c r="B166" s="160"/>
      <c r="C166" s="58" t="s">
        <v>163</v>
      </c>
      <c r="D166" s="59">
        <f>D3-D4</f>
        <v>247102.1726128282</v>
      </c>
      <c r="J166" s="59" t="s">
        <v>73</v>
      </c>
      <c r="K166" s="59" t="s">
        <v>73</v>
      </c>
    </row>
    <row r="167" spans="2:28" s="59" customFormat="1" ht="12" customHeight="1" x14ac:dyDescent="0.3">
      <c r="C167" s="58" t="s">
        <v>164</v>
      </c>
      <c r="D167" s="59">
        <v>247102.1726128282</v>
      </c>
      <c r="J167" s="59" t="s">
        <v>165</v>
      </c>
      <c r="K167" s="59" t="s">
        <v>73</v>
      </c>
    </row>
    <row r="168" spans="2:28" s="59" customFormat="1" ht="12" customHeight="1" x14ac:dyDescent="0.3">
      <c r="C168" s="161" t="s">
        <v>166</v>
      </c>
      <c r="D168" s="162">
        <v>151935854.86493099</v>
      </c>
      <c r="E168" s="162">
        <v>151935854.86493099</v>
      </c>
      <c r="F168" s="163">
        <v>140898934.192801</v>
      </c>
      <c r="J168" s="59">
        <v>136788276.24000001</v>
      </c>
      <c r="N168" s="79">
        <v>1.1288086279641611</v>
      </c>
    </row>
    <row r="169" spans="2:28" s="59" customFormat="1" ht="12" customHeight="1" x14ac:dyDescent="0.3">
      <c r="C169" s="58" t="s">
        <v>167</v>
      </c>
      <c r="D169" s="162">
        <v>127137435.07254556</v>
      </c>
      <c r="E169" s="162">
        <v>127137435.07254556</v>
      </c>
      <c r="F169" s="163">
        <v>120931920.02681899</v>
      </c>
      <c r="I169" s="59" t="s">
        <v>165</v>
      </c>
    </row>
    <row r="170" spans="2:28" s="59" customFormat="1" ht="12" customHeight="1" x14ac:dyDescent="0.3">
      <c r="C170" s="58" t="s">
        <v>168</v>
      </c>
      <c r="D170" s="164">
        <f>D167/D168*1000</f>
        <v>1.6263585236842144</v>
      </c>
      <c r="E170" s="57">
        <v>1.7219750513532299</v>
      </c>
      <c r="F170" s="164">
        <v>1.1087368522493017</v>
      </c>
      <c r="G170" s="79">
        <f>D170/F170-1</f>
        <v>0.46685709993747415</v>
      </c>
      <c r="I170" s="57">
        <v>1.8727392459194976</v>
      </c>
      <c r="J170" s="79">
        <f>D170/I170</f>
        <v>0.86843831955136253</v>
      </c>
      <c r="K170" s="57"/>
      <c r="L170" s="79"/>
    </row>
    <row r="171" spans="2:28" s="59" customFormat="1" ht="12" customHeight="1" x14ac:dyDescent="0.3">
      <c r="C171" s="165" t="s">
        <v>169</v>
      </c>
      <c r="D171" s="166">
        <f>D170+F171</f>
        <v>1.6263585236842144</v>
      </c>
      <c r="E171" s="166"/>
      <c r="F171" s="57">
        <v>0</v>
      </c>
      <c r="G171" s="167" t="s">
        <v>170</v>
      </c>
      <c r="I171" s="57">
        <v>1.9727392459194977</v>
      </c>
      <c r="J171" s="79">
        <f>D171/I171</f>
        <v>0.82441636777300764</v>
      </c>
      <c r="K171" s="57"/>
      <c r="L171" s="167"/>
    </row>
    <row r="172" spans="2:28" s="59" customFormat="1" ht="12" customHeight="1" x14ac:dyDescent="0.3">
      <c r="C172" s="165" t="s">
        <v>171</v>
      </c>
      <c r="D172" s="166">
        <f>D170+F172</f>
        <v>1.6263585236842144</v>
      </c>
      <c r="E172" s="166"/>
      <c r="F172" s="57">
        <v>0</v>
      </c>
      <c r="G172" s="167" t="s">
        <v>172</v>
      </c>
      <c r="I172" s="57">
        <v>2.7227392459194975</v>
      </c>
      <c r="J172" s="79">
        <f>D172/I172</f>
        <v>0.59732437695662488</v>
      </c>
      <c r="K172" s="57"/>
      <c r="L172" s="167"/>
    </row>
    <row r="173" spans="2:28" s="59" customFormat="1" ht="12" customHeight="1" x14ac:dyDescent="0.3">
      <c r="C173" s="168" t="s">
        <v>173</v>
      </c>
      <c r="D173" s="169">
        <f>D3*1000/D168</f>
        <v>10.842390157894755</v>
      </c>
      <c r="E173" s="164">
        <v>6.8879002054129188</v>
      </c>
      <c r="F173" s="169">
        <v>7.3915790149953429</v>
      </c>
      <c r="G173" s="170">
        <f>D173/F173-1</f>
        <v>0.46685709993747349</v>
      </c>
      <c r="H173" s="171">
        <f>D173/F173</f>
        <v>1.4668570999374735</v>
      </c>
      <c r="I173" s="57">
        <v>6.5656729581833559</v>
      </c>
      <c r="J173" s="79">
        <f>D173/I173</f>
        <v>1.651375301046782</v>
      </c>
      <c r="K173" s="57"/>
      <c r="L173" s="172"/>
    </row>
    <row r="174" spans="2:28" s="59" customFormat="1" ht="12" customHeight="1" x14ac:dyDescent="0.3">
      <c r="C174" s="58"/>
      <c r="D174" s="57">
        <f>D3*1000/D169</f>
        <v>12.957220794008192</v>
      </c>
      <c r="E174" s="173">
        <f>D173/E173</f>
        <v>1.5741212611318272</v>
      </c>
      <c r="F174" s="57">
        <v>6.9045094651632608</v>
      </c>
      <c r="G174" s="172">
        <f>D174/F174-1</f>
        <v>0.8766316216067076</v>
      </c>
      <c r="I174" s="57">
        <v>7.6468571576843924</v>
      </c>
      <c r="J174" s="79">
        <f>D174/I174</f>
        <v>1.6944504816579933</v>
      </c>
      <c r="K174" s="57"/>
      <c r="L174" s="172"/>
    </row>
    <row r="175" spans="2:28" s="59" customFormat="1" ht="12" customHeight="1" x14ac:dyDescent="0.3">
      <c r="C175" s="58" t="s">
        <v>174</v>
      </c>
      <c r="D175" s="174">
        <f>F66</f>
        <v>3.9928116517610981</v>
      </c>
      <c r="E175" s="175">
        <v>2.3873258502499688</v>
      </c>
      <c r="F175" s="176">
        <f>D175/E175</f>
        <v>1.6725038399525662</v>
      </c>
      <c r="G175" s="172"/>
      <c r="I175" s="57"/>
      <c r="J175" s="79"/>
      <c r="K175" s="57"/>
      <c r="L175" s="172"/>
    </row>
    <row r="176" spans="2:28" s="59" customFormat="1" ht="12" customHeight="1" x14ac:dyDescent="0.3">
      <c r="C176" s="58" t="s">
        <v>175</v>
      </c>
      <c r="D176" s="174">
        <f>G66</f>
        <v>3.3251769277073349</v>
      </c>
      <c r="E176" s="175">
        <v>1.9881430752360127</v>
      </c>
      <c r="F176" s="176">
        <f>D176/E176</f>
        <v>1.672503839952566</v>
      </c>
      <c r="G176" s="172"/>
      <c r="I176" s="57"/>
      <c r="J176" s="79"/>
      <c r="K176" s="57"/>
      <c r="L176" s="172"/>
    </row>
    <row r="177" spans="3:12" s="59" customFormat="1" ht="12" customHeight="1" x14ac:dyDescent="0.3">
      <c r="C177" s="58"/>
      <c r="D177" s="57"/>
      <c r="E177" s="60"/>
      <c r="F177" s="57"/>
      <c r="G177" s="172"/>
      <c r="I177" s="57"/>
      <c r="J177" s="79"/>
      <c r="K177" s="57"/>
      <c r="L177" s="172"/>
    </row>
    <row r="178" spans="3:12" s="59" customFormat="1" ht="12" customHeight="1" x14ac:dyDescent="0.3">
      <c r="C178" s="58" t="s">
        <v>176</v>
      </c>
      <c r="G178" s="59">
        <f>F10*D10*F66</f>
        <v>483557440.7098313</v>
      </c>
      <c r="H178" s="59">
        <f>G10*D10*G66</f>
        <v>318229407.51237506</v>
      </c>
      <c r="J178" s="59">
        <f>I66*F10</f>
        <v>483557440.70983136</v>
      </c>
      <c r="K178" s="59">
        <f>J66*G10</f>
        <v>318229407.51237506</v>
      </c>
    </row>
    <row r="179" spans="3:12" s="59" customFormat="1" ht="12" customHeight="1" x14ac:dyDescent="0.3">
      <c r="C179" s="58" t="s">
        <v>177</v>
      </c>
      <c r="G179" s="59">
        <f>F11*D11*F67</f>
        <v>837991.34541336051</v>
      </c>
      <c r="H179" s="59">
        <f>G12*D12*G67</f>
        <v>182053.43679197659</v>
      </c>
      <c r="J179" s="59">
        <f>I67*F11</f>
        <v>837991.34541336051</v>
      </c>
      <c r="K179" s="59">
        <f>J67*G12</f>
        <v>182053.43679197659</v>
      </c>
    </row>
    <row r="180" spans="3:12" s="59" customFormat="1" ht="12" customHeight="1" x14ac:dyDescent="0.3">
      <c r="C180" s="58" t="s">
        <v>178</v>
      </c>
      <c r="G180" s="59">
        <f>F15*$D15*F73+F16*$D16*F74</f>
        <v>3461899.4648613799</v>
      </c>
      <c r="H180" s="59">
        <f>G15*$D15*G73+G16*$D16*G74</f>
        <v>29269731.65497639</v>
      </c>
      <c r="J180" s="59">
        <f>I73*F15+I74*F16</f>
        <v>3461899.4648613799</v>
      </c>
      <c r="K180" s="59">
        <f>J73*G15+J74*G16</f>
        <v>29269731.65497639</v>
      </c>
    </row>
    <row r="181" spans="3:12" s="59" customFormat="1" ht="12" customHeight="1" x14ac:dyDescent="0.3">
      <c r="C181" s="58" t="s">
        <v>179</v>
      </c>
      <c r="G181" s="59">
        <f>(F32*$D32*F118+F33*$D33*F119)</f>
        <v>0</v>
      </c>
      <c r="H181" s="59">
        <f>(G32*$D32*G118+G33*$D33*G119)</f>
        <v>9024619.9615747556</v>
      </c>
      <c r="J181" s="59">
        <f>I118*F32+I119*F33</f>
        <v>0</v>
      </c>
      <c r="K181" s="59">
        <f>J118*G32+J119*G33</f>
        <v>9024619.9615747556</v>
      </c>
    </row>
    <row r="182" spans="3:12" s="59" customFormat="1" ht="12" customHeight="1" x14ac:dyDescent="0.3">
      <c r="C182" s="58" t="s">
        <v>180</v>
      </c>
      <c r="G182" s="59">
        <f>F18*$D18*F72+F17*$D17*F71</f>
        <v>6276396.4628829164</v>
      </c>
      <c r="H182" s="59">
        <f>G18*$D18*G72+G17*$D17*G71</f>
        <v>174394942.49491188</v>
      </c>
      <c r="J182" s="59">
        <f>I71*F17+I72*F18</f>
        <v>6276396.4628829155</v>
      </c>
      <c r="K182" s="59">
        <f>J71*G17+J72*G18</f>
        <v>174394942.49491191</v>
      </c>
    </row>
    <row r="183" spans="3:12" s="59" customFormat="1" ht="12" customHeight="1" x14ac:dyDescent="0.3">
      <c r="C183" s="58" t="s">
        <v>181</v>
      </c>
      <c r="G183" s="59">
        <f>(F34*$D34*F116+F35*$D35*F117)</f>
        <v>42324162.861716293</v>
      </c>
      <c r="H183" s="59">
        <f>G34*$D34*G116+G35*$D35*G117</f>
        <v>26856.71665385666</v>
      </c>
      <c r="J183" s="59">
        <f>I116*F34+I117*F35</f>
        <v>42324162.861716285</v>
      </c>
      <c r="K183" s="59">
        <f>J116*G34+J117*G35</f>
        <v>26856.71665385666</v>
      </c>
    </row>
    <row r="184" spans="3:12" s="59" customFormat="1" ht="12" customHeight="1" x14ac:dyDescent="0.3">
      <c r="C184" s="58" t="s">
        <v>182</v>
      </c>
      <c r="G184" s="59">
        <f>$D$19*F19*F82+$D$20*F20*F83+$D$21*F21*F84+$D$22*F22*F85+$D$23*F23*F86+$D$24*F24*F87</f>
        <v>26341584.655204214</v>
      </c>
      <c r="H184" s="59">
        <f>$D$19*G19*G82+$D$20*G20*G83+$D$21*G21*G84+$D$22*G22*G85+$D$23*G23*G86+$D$24*G24*G87</f>
        <v>7665636.7771054059</v>
      </c>
      <c r="J184" s="59">
        <f>I82*F19+I83*F20+I84*F21+I85*F22+I86*F23+I87*F24</f>
        <v>26341584.655204214</v>
      </c>
      <c r="K184" s="59">
        <f>J82*G19+J83*G20+J84*G21+J85*G22+J86*G23+J87*G24</f>
        <v>7665636.777105405</v>
      </c>
    </row>
    <row r="185" spans="3:12" s="59" customFormat="1" ht="12" customHeight="1" x14ac:dyDescent="0.3">
      <c r="C185" s="58" t="s">
        <v>183</v>
      </c>
      <c r="G185" s="59">
        <f>$D$36*F36*F127+$D$37*F37*F128+$D$38*F38*F129+$D$39*F39*F130+$D$40*F40*F131+$D$41*F41*F132</f>
        <v>1819848.8852948206</v>
      </c>
      <c r="H185" s="59">
        <f>$D$36*G36*G127+$D$37*G37*G128+$D$38*G38*G129+$D$39*G39*G130+$D$40*G40*G131+$D$41*G41*G132</f>
        <v>12093981.052702781</v>
      </c>
      <c r="J185" s="59">
        <f>I127*F36+I128*F37+I129*F38+I130*F39+I131*F40+I132*F41</f>
        <v>1819848.8852948206</v>
      </c>
      <c r="K185" s="59">
        <f>J127*G36+J128*G37+J129*G38+J130*G39+J131*G40+J132*G41</f>
        <v>12093981.052702781</v>
      </c>
    </row>
    <row r="186" spans="3:12" s="59" customFormat="1" ht="12" customHeight="1" x14ac:dyDescent="0.3">
      <c r="C186" s="58" t="s">
        <v>184</v>
      </c>
      <c r="G186" s="59">
        <f>$D$25*F25*F76+$D$26*F26*F77+$D$27*F27*F78+$D$28*F28*F79+$D$29*F29*F80+$D$30*F30*F81</f>
        <v>56383451.609314889</v>
      </c>
      <c r="H186" s="59">
        <f>$D$25*G25*G76+$D$26*G26*G77+$D$27*G27*G78+$D$28*G28*G79+$D$29*G29*G80+$D$30*G30*G81</f>
        <v>142595158.27579895</v>
      </c>
      <c r="J186" s="59">
        <f>I76*F25+I77*F26+I78*F27+I79*F28+I80*F29+I81*F30</f>
        <v>56383451.609314881</v>
      </c>
      <c r="K186" s="59">
        <f>J76*G25+J77*G26+J78*G27+J79*G28+J80*G29+J81*G30</f>
        <v>142595158.27579895</v>
      </c>
    </row>
    <row r="187" spans="3:12" s="59" customFormat="1" ht="12" customHeight="1" x14ac:dyDescent="0.3">
      <c r="C187" s="58" t="s">
        <v>185</v>
      </c>
      <c r="G187" s="59">
        <f>$D$42*F42*F121+$D$43*F43*F122+$D$44*F44*F123+$D$45*F45*F124+$D$46*F46*F125+$D$47*F47*F126</f>
        <v>79120046.408493564</v>
      </c>
      <c r="H187" s="59">
        <f>$D$42*G42*G121+$D$43*G43*G122+$D$44*G44*G123+$D$45*G45*G124+$D$46*G46*G125+$D$47*G47*G126</f>
        <v>6640434.5201216266</v>
      </c>
      <c r="J187" s="59">
        <f>I121*F42+I122*F43+I123*F44+I124*F45+I125*F46+I126*F47</f>
        <v>79120046.408493564</v>
      </c>
      <c r="K187" s="59">
        <f>J121*G42+J122*G43+J125*G44+J126*G45+J127*G46+J128*G47</f>
        <v>6581563.9252050323</v>
      </c>
    </row>
    <row r="188" spans="3:12" s="59" customFormat="1" ht="12" customHeight="1" x14ac:dyDescent="0.3">
      <c r="C188" s="58"/>
      <c r="G188" s="59">
        <f>SUM(G178:G187)</f>
        <v>700122822.40301275</v>
      </c>
      <c r="H188" s="59">
        <f>SUM(H178:H187)</f>
        <v>700122822.40301251</v>
      </c>
      <c r="J188" s="59">
        <f>SUM(J178:J187)</f>
        <v>700122822.40301275</v>
      </c>
      <c r="K188" s="59">
        <f>SUM(K178:K187)</f>
        <v>700063951.80809605</v>
      </c>
    </row>
    <row r="189" spans="3:12" s="59" customFormat="1" ht="12" customHeight="1" x14ac:dyDescent="0.3">
      <c r="C189" s="58"/>
      <c r="G189" s="94">
        <f>F4*1000-G188</f>
        <v>0</v>
      </c>
      <c r="H189" s="94">
        <f>G4*1000-H188</f>
        <v>0</v>
      </c>
      <c r="J189" s="94">
        <f>F4*1000-J188</f>
        <v>0</v>
      </c>
      <c r="K189" s="94">
        <f>G4*1000-K188</f>
        <v>58870.594916701317</v>
      </c>
    </row>
    <row r="191" spans="3:12" ht="12" customHeight="1" x14ac:dyDescent="0.3">
      <c r="D191" s="60">
        <f>0.85/D173</f>
        <v>7.8395998264375572E-2</v>
      </c>
    </row>
    <row r="192" spans="3:12" ht="12" customHeight="1" x14ac:dyDescent="0.3">
      <c r="D192" s="79">
        <v>3.4355321243693879E-2</v>
      </c>
    </row>
    <row r="203" spans="3:9" ht="12" customHeight="1" x14ac:dyDescent="0.3">
      <c r="C203" s="72" t="s">
        <v>11</v>
      </c>
      <c r="H203" s="92">
        <v>148492585</v>
      </c>
      <c r="I203" s="92">
        <v>115189985</v>
      </c>
    </row>
    <row r="204" spans="3:9" ht="12" customHeight="1" x14ac:dyDescent="0.3">
      <c r="C204" s="72" t="s">
        <v>12</v>
      </c>
      <c r="H204" s="92">
        <v>0</v>
      </c>
      <c r="I204" s="92">
        <v>0</v>
      </c>
    </row>
    <row r="205" spans="3:9" ht="12" customHeight="1" x14ac:dyDescent="0.3">
      <c r="C205" s="72" t="s">
        <v>13</v>
      </c>
      <c r="H205" s="92">
        <v>0</v>
      </c>
      <c r="I205" s="92">
        <v>10950</v>
      </c>
    </row>
    <row r="206" spans="3:9" ht="12" customHeight="1" x14ac:dyDescent="0.3">
      <c r="C206" s="72" t="s">
        <v>14</v>
      </c>
      <c r="H206" s="92">
        <v>0</v>
      </c>
      <c r="I206" s="92">
        <v>0</v>
      </c>
    </row>
    <row r="207" spans="3:9" ht="12" customHeight="1" x14ac:dyDescent="0.3">
      <c r="C207" s="72" t="s">
        <v>50</v>
      </c>
      <c r="H207" s="92">
        <v>0</v>
      </c>
      <c r="I207" s="92">
        <v>0</v>
      </c>
    </row>
    <row r="208" spans="3:9" ht="12" customHeight="1" x14ac:dyDescent="0.3">
      <c r="C208" s="72" t="s">
        <v>51</v>
      </c>
      <c r="H208" s="92">
        <v>215233.19999999998</v>
      </c>
      <c r="I208" s="92">
        <v>3763259.5000000005</v>
      </c>
    </row>
    <row r="209" spans="3:9" ht="12" customHeight="1" x14ac:dyDescent="0.3">
      <c r="C209" s="72" t="s">
        <v>53</v>
      </c>
      <c r="H209" s="92">
        <v>1649100</v>
      </c>
      <c r="I209" s="92">
        <v>3753599.9999999995</v>
      </c>
    </row>
    <row r="210" spans="3:9" ht="12" customHeight="1" x14ac:dyDescent="0.3">
      <c r="C210" s="72" t="s">
        <v>54</v>
      </c>
      <c r="H210" s="92">
        <v>1229580</v>
      </c>
      <c r="I210" s="92">
        <v>12675299.999999998</v>
      </c>
    </row>
    <row r="211" spans="3:9" ht="12" customHeight="1" x14ac:dyDescent="0.3">
      <c r="C211" s="72" t="s">
        <v>55</v>
      </c>
      <c r="H211" s="92">
        <v>2466611.9999999972</v>
      </c>
      <c r="I211" s="92">
        <v>45084599.999999993</v>
      </c>
    </row>
    <row r="212" spans="3:9" ht="12" customHeight="1" x14ac:dyDescent="0.3">
      <c r="C212" s="72" t="s">
        <v>15</v>
      </c>
      <c r="H212" s="92">
        <v>360960</v>
      </c>
      <c r="I212" s="92">
        <v>2736020.3999999994</v>
      </c>
    </row>
    <row r="213" spans="3:9" ht="12" customHeight="1" x14ac:dyDescent="0.3">
      <c r="C213" s="72" t="s">
        <v>17</v>
      </c>
      <c r="H213" s="92">
        <v>388925.99999999994</v>
      </c>
      <c r="I213" s="92">
        <v>749890</v>
      </c>
    </row>
    <row r="214" spans="3:9" ht="12" customHeight="1" x14ac:dyDescent="0.3">
      <c r="C214" s="72" t="s">
        <v>19</v>
      </c>
      <c r="H214" s="92">
        <v>254099.99999999997</v>
      </c>
      <c r="I214" s="92">
        <v>427349.99999999994</v>
      </c>
    </row>
    <row r="215" spans="3:9" ht="12" customHeight="1" x14ac:dyDescent="0.3">
      <c r="C215" s="72" t="s">
        <v>21</v>
      </c>
      <c r="H215" s="92">
        <v>13533.98</v>
      </c>
      <c r="I215" s="92">
        <v>584071.00000000012</v>
      </c>
    </row>
    <row r="216" spans="3:9" ht="12" customHeight="1" x14ac:dyDescent="0.3">
      <c r="C216" s="72" t="s">
        <v>23</v>
      </c>
      <c r="H216" s="92">
        <v>402107.2</v>
      </c>
      <c r="I216" s="92">
        <v>941160</v>
      </c>
    </row>
    <row r="217" spans="3:9" ht="12" customHeight="1" x14ac:dyDescent="0.3">
      <c r="C217" s="72" t="s">
        <v>24</v>
      </c>
      <c r="H217" s="92">
        <v>416519.99999999994</v>
      </c>
      <c r="I217" s="92">
        <v>1070670</v>
      </c>
    </row>
    <row r="218" spans="3:9" ht="12" customHeight="1" x14ac:dyDescent="0.3">
      <c r="C218" s="72" t="s">
        <v>57</v>
      </c>
      <c r="H218" s="92">
        <v>309256</v>
      </c>
      <c r="I218" s="92">
        <v>1075204</v>
      </c>
    </row>
    <row r="219" spans="3:9" ht="12" customHeight="1" x14ac:dyDescent="0.3">
      <c r="C219" s="72" t="s">
        <v>58</v>
      </c>
      <c r="H219" s="92">
        <v>2970000</v>
      </c>
      <c r="I219" s="92">
        <v>4654800</v>
      </c>
    </row>
    <row r="220" spans="3:9" ht="12" customHeight="1" x14ac:dyDescent="0.3">
      <c r="C220" s="72" t="s">
        <v>59</v>
      </c>
      <c r="H220" s="92">
        <v>4697244.0000000019</v>
      </c>
      <c r="I220" s="92">
        <v>20457396</v>
      </c>
    </row>
    <row r="221" spans="3:9" ht="12" customHeight="1" x14ac:dyDescent="0.3">
      <c r="C221" s="72" t="s">
        <v>60</v>
      </c>
      <c r="H221" s="92">
        <v>5431355.0000000009</v>
      </c>
      <c r="I221" s="92">
        <v>13339532.5</v>
      </c>
    </row>
    <row r="222" spans="3:9" ht="12" customHeight="1" x14ac:dyDescent="0.3">
      <c r="C222" s="72" t="s">
        <v>61</v>
      </c>
      <c r="H222" s="92">
        <v>4865615.9999999991</v>
      </c>
      <c r="I222" s="92">
        <v>4750704</v>
      </c>
    </row>
    <row r="223" spans="3:9" ht="12" customHeight="1" x14ac:dyDescent="0.3">
      <c r="C223" s="72" t="s">
        <v>62</v>
      </c>
      <c r="H223" s="92">
        <v>319052.00000000006</v>
      </c>
      <c r="I223" s="92">
        <v>3026774.28</v>
      </c>
    </row>
    <row r="224" spans="3:9" ht="12" customHeight="1" x14ac:dyDescent="0.3">
      <c r="C224" s="80" t="s">
        <v>63</v>
      </c>
      <c r="H224" s="92">
        <v>0</v>
      </c>
      <c r="I224" s="92">
        <v>0</v>
      </c>
    </row>
    <row r="225" spans="3:9" ht="12" customHeight="1" x14ac:dyDescent="0.3">
      <c r="C225" s="84" t="s">
        <v>64</v>
      </c>
      <c r="H225" s="92">
        <v>0</v>
      </c>
      <c r="I225" s="92">
        <v>561333.5</v>
      </c>
    </row>
    <row r="226" spans="3:9" ht="12" customHeight="1" x14ac:dyDescent="0.3">
      <c r="C226" s="84" t="s">
        <v>65</v>
      </c>
      <c r="H226" s="92">
        <v>0</v>
      </c>
      <c r="I226" s="92">
        <v>2187300</v>
      </c>
    </row>
    <row r="227" spans="3:9" ht="12" customHeight="1" x14ac:dyDescent="0.3">
      <c r="C227" s="84" t="s">
        <v>66</v>
      </c>
      <c r="H227" s="92">
        <v>311190</v>
      </c>
      <c r="I227" s="92">
        <v>0</v>
      </c>
    </row>
    <row r="228" spans="3:9" ht="12" customHeight="1" x14ac:dyDescent="0.3">
      <c r="C228" s="84" t="s">
        <v>67</v>
      </c>
      <c r="H228" s="92">
        <v>14037705</v>
      </c>
      <c r="I228" s="92">
        <v>4657.5</v>
      </c>
    </row>
    <row r="229" spans="3:9" ht="12" customHeight="1" x14ac:dyDescent="0.3">
      <c r="C229" s="84" t="s">
        <v>16</v>
      </c>
      <c r="H229" s="92">
        <v>8460</v>
      </c>
      <c r="I229" s="92">
        <v>590479.79999999993</v>
      </c>
    </row>
    <row r="230" spans="3:9" ht="12" customHeight="1" x14ac:dyDescent="0.3">
      <c r="C230" s="84" t="s">
        <v>18</v>
      </c>
      <c r="H230" s="92">
        <v>254.2</v>
      </c>
      <c r="I230" s="92">
        <v>563052.99999999988</v>
      </c>
    </row>
    <row r="231" spans="3:9" ht="12" customHeight="1" x14ac:dyDescent="0.3">
      <c r="C231" s="84" t="s">
        <v>20</v>
      </c>
      <c r="H231" s="92">
        <v>0</v>
      </c>
      <c r="I231" s="92">
        <v>489720</v>
      </c>
    </row>
    <row r="232" spans="3:9" ht="12" customHeight="1" x14ac:dyDescent="0.3">
      <c r="C232" s="84" t="s">
        <v>22</v>
      </c>
      <c r="H232" s="92">
        <v>0</v>
      </c>
      <c r="I232" s="92">
        <v>366652.5</v>
      </c>
    </row>
    <row r="233" spans="3:9" ht="12" customHeight="1" x14ac:dyDescent="0.3">
      <c r="C233" s="84" t="s">
        <v>68</v>
      </c>
      <c r="H233" s="92">
        <v>0</v>
      </c>
      <c r="I233" s="92">
        <v>320540</v>
      </c>
    </row>
    <row r="234" spans="3:9" ht="12" customHeight="1" x14ac:dyDescent="0.3">
      <c r="C234" s="84" t="s">
        <v>25</v>
      </c>
      <c r="H234" s="92">
        <v>0</v>
      </c>
      <c r="I234" s="92">
        <v>257654.99999999997</v>
      </c>
    </row>
    <row r="235" spans="3:9" ht="12" customHeight="1" x14ac:dyDescent="0.3">
      <c r="C235" s="84" t="s">
        <v>69</v>
      </c>
      <c r="H235" s="92">
        <v>287680</v>
      </c>
      <c r="I235" s="92">
        <v>368589.99999999994</v>
      </c>
    </row>
    <row r="236" spans="3:9" ht="12" customHeight="1" x14ac:dyDescent="0.3">
      <c r="C236" s="84" t="s">
        <v>70</v>
      </c>
      <c r="H236" s="92">
        <v>2011500</v>
      </c>
      <c r="I236" s="92">
        <v>540000</v>
      </c>
    </row>
    <row r="237" spans="3:9" ht="12" customHeight="1" x14ac:dyDescent="0.3">
      <c r="C237" s="84" t="s">
        <v>71</v>
      </c>
      <c r="H237" s="92">
        <v>8068308</v>
      </c>
      <c r="I237" s="92">
        <v>0</v>
      </c>
    </row>
    <row r="238" spans="3:9" ht="12" customHeight="1" x14ac:dyDescent="0.3">
      <c r="C238" s="84" t="s">
        <v>72</v>
      </c>
      <c r="H238" s="92">
        <v>6277732.5</v>
      </c>
      <c r="I238" s="92">
        <v>0</v>
      </c>
    </row>
    <row r="239" spans="3:9" ht="12" customHeight="1" x14ac:dyDescent="0.3">
      <c r="C239" s="84" t="s">
        <v>74</v>
      </c>
      <c r="H239" s="92">
        <v>2004912</v>
      </c>
      <c r="I239" s="92">
        <v>0</v>
      </c>
    </row>
    <row r="240" spans="3:9" ht="12" customHeight="1" x14ac:dyDescent="0.3">
      <c r="C240" s="84" t="s">
        <v>75</v>
      </c>
      <c r="H240" s="92">
        <v>535184</v>
      </c>
      <c r="I240" s="92">
        <v>105029.86</v>
      </c>
    </row>
    <row r="241" spans="3:9" ht="12" customHeight="1" thickBot="1" x14ac:dyDescent="0.35">
      <c r="C241" s="85" t="s">
        <v>26</v>
      </c>
      <c r="H241" s="92">
        <v>208024706.07999995</v>
      </c>
      <c r="I241" s="92">
        <v>240646277.84000003</v>
      </c>
    </row>
    <row r="242" spans="3:9" ht="12" customHeight="1" thickTop="1" x14ac:dyDescent="0.3"/>
    <row r="243" spans="3:9" ht="12" customHeight="1" x14ac:dyDescent="0.3">
      <c r="C243" s="72" t="s">
        <v>11</v>
      </c>
      <c r="H243" s="91">
        <f t="shared" ref="H243:I258" si="45">H10/H203</f>
        <v>0.81557607741827642</v>
      </c>
      <c r="I243" s="91">
        <f t="shared" si="45"/>
        <v>0.83082743695122452</v>
      </c>
    </row>
    <row r="244" spans="3:9" ht="12" customHeight="1" x14ac:dyDescent="0.3">
      <c r="C244" s="72" t="s">
        <v>12</v>
      </c>
      <c r="H244" s="91" t="e">
        <f t="shared" si="45"/>
        <v>#DIV/0!</v>
      </c>
      <c r="I244" s="91" t="e">
        <f t="shared" si="45"/>
        <v>#DIV/0!</v>
      </c>
    </row>
    <row r="245" spans="3:9" ht="12" customHeight="1" x14ac:dyDescent="0.3">
      <c r="C245" s="72" t="s">
        <v>13</v>
      </c>
      <c r="H245" s="91" t="e">
        <f t="shared" si="45"/>
        <v>#DIV/0!</v>
      </c>
      <c r="I245" s="91">
        <f t="shared" si="45"/>
        <v>5</v>
      </c>
    </row>
    <row r="246" spans="3:9" ht="12" customHeight="1" x14ac:dyDescent="0.3">
      <c r="C246" s="72" t="s">
        <v>14</v>
      </c>
      <c r="H246" s="91" t="e">
        <f t="shared" si="45"/>
        <v>#DIV/0!</v>
      </c>
      <c r="I246" s="91" t="e">
        <f t="shared" si="45"/>
        <v>#DIV/0!</v>
      </c>
    </row>
    <row r="247" spans="3:9" ht="12" customHeight="1" x14ac:dyDescent="0.3">
      <c r="C247" s="72" t="s">
        <v>50</v>
      </c>
      <c r="H247" s="91" t="e">
        <f t="shared" si="45"/>
        <v>#DIV/0!</v>
      </c>
      <c r="I247" s="91" t="e">
        <f t="shared" si="45"/>
        <v>#DIV/0!</v>
      </c>
    </row>
    <row r="248" spans="3:9" ht="12" customHeight="1" x14ac:dyDescent="0.3">
      <c r="C248" s="72" t="s">
        <v>51</v>
      </c>
      <c r="H248" s="91">
        <f t="shared" si="45"/>
        <v>1.3508371385083715</v>
      </c>
      <c r="I248" s="91">
        <f t="shared" si="45"/>
        <v>1.0951210938751523</v>
      </c>
    </row>
    <row r="249" spans="3:9" ht="12" customHeight="1" x14ac:dyDescent="0.3">
      <c r="C249" s="72" t="s">
        <v>53</v>
      </c>
      <c r="H249" s="91">
        <f t="shared" si="45"/>
        <v>0.34945606694560671</v>
      </c>
      <c r="I249" s="91">
        <f t="shared" si="45"/>
        <v>1.2471317036279415</v>
      </c>
    </row>
    <row r="250" spans="3:9" ht="12" customHeight="1" x14ac:dyDescent="0.3">
      <c r="C250" s="72" t="s">
        <v>54</v>
      </c>
      <c r="H250" s="91">
        <f t="shared" si="45"/>
        <v>1.2869435091657196E-2</v>
      </c>
      <c r="I250" s="91">
        <f t="shared" si="45"/>
        <v>0.99436037016875356</v>
      </c>
    </row>
    <row r="251" spans="3:9" ht="12" customHeight="1" x14ac:dyDescent="0.3">
      <c r="C251" s="72" t="s">
        <v>55</v>
      </c>
      <c r="H251" s="91">
        <f t="shared" si="45"/>
        <v>0.63086533269115808</v>
      </c>
      <c r="I251" s="91">
        <f t="shared" si="45"/>
        <v>0.88373857148560719</v>
      </c>
    </row>
    <row r="252" spans="3:9" ht="12" customHeight="1" x14ac:dyDescent="0.3">
      <c r="C252" s="72" t="s">
        <v>15</v>
      </c>
      <c r="H252" s="91">
        <f t="shared" si="45"/>
        <v>1.345744680851064</v>
      </c>
      <c r="I252" s="91">
        <f t="shared" si="45"/>
        <v>0.47411927191770947</v>
      </c>
    </row>
    <row r="253" spans="3:9" ht="12" customHeight="1" x14ac:dyDescent="0.3">
      <c r="C253" s="72" t="s">
        <v>17</v>
      </c>
      <c r="H253" s="91">
        <f t="shared" si="45"/>
        <v>2.6209150326797386</v>
      </c>
      <c r="I253" s="91">
        <f t="shared" si="45"/>
        <v>0.12203389830508472</v>
      </c>
    </row>
    <row r="254" spans="3:9" ht="12" customHeight="1" x14ac:dyDescent="0.3">
      <c r="C254" s="72" t="s">
        <v>19</v>
      </c>
      <c r="H254" s="91">
        <f t="shared" si="45"/>
        <v>3.9062573789846522</v>
      </c>
      <c r="I254" s="91">
        <f t="shared" si="45"/>
        <v>9.9684099684099609E-2</v>
      </c>
    </row>
    <row r="255" spans="3:9" ht="12" customHeight="1" x14ac:dyDescent="0.3">
      <c r="C255" s="72" t="s">
        <v>21</v>
      </c>
      <c r="H255" s="91">
        <f t="shared" si="45"/>
        <v>127.71084337349396</v>
      </c>
      <c r="I255" s="91">
        <f t="shared" si="45"/>
        <v>0.57385489092935604</v>
      </c>
    </row>
    <row r="256" spans="3:9" ht="12" customHeight="1" x14ac:dyDescent="0.3">
      <c r="C256" s="72" t="s">
        <v>23</v>
      </c>
      <c r="H256" s="91">
        <f t="shared" si="45"/>
        <v>3.1426544961144689</v>
      </c>
      <c r="I256" s="91">
        <f t="shared" si="45"/>
        <v>0.13596837944664031</v>
      </c>
    </row>
    <row r="257" spans="3:9" ht="12" customHeight="1" x14ac:dyDescent="0.3">
      <c r="C257" s="72" t="s">
        <v>24</v>
      </c>
      <c r="H257" s="91">
        <f t="shared" si="45"/>
        <v>2.6588159031979268</v>
      </c>
      <c r="I257" s="91">
        <f t="shared" si="45"/>
        <v>0.38375970186892339</v>
      </c>
    </row>
    <row r="258" spans="3:9" ht="12" customHeight="1" x14ac:dyDescent="0.3">
      <c r="C258" s="72" t="s">
        <v>57</v>
      </c>
      <c r="H258" s="91">
        <f t="shared" si="45"/>
        <v>5.8295910184442672</v>
      </c>
      <c r="I258" s="91">
        <f t="shared" si="45"/>
        <v>1.06438127090301</v>
      </c>
    </row>
    <row r="259" spans="3:9" ht="12" customHeight="1" x14ac:dyDescent="0.3">
      <c r="C259" s="72" t="s">
        <v>58</v>
      </c>
      <c r="H259" s="91">
        <f t="shared" ref="H259:I274" si="46">H26/H219</f>
        <v>0.76800000000000002</v>
      </c>
      <c r="I259" s="91">
        <f t="shared" si="46"/>
        <v>1.4496519721577725</v>
      </c>
    </row>
    <row r="260" spans="3:9" ht="12" customHeight="1" x14ac:dyDescent="0.3">
      <c r="C260" s="72" t="s">
        <v>59</v>
      </c>
      <c r="H260" s="91">
        <f t="shared" si="46"/>
        <v>0.88738417676407633</v>
      </c>
      <c r="I260" s="91">
        <f t="shared" si="46"/>
        <v>0.95432600512792543</v>
      </c>
    </row>
    <row r="261" spans="3:9" ht="12" customHeight="1" x14ac:dyDescent="0.3">
      <c r="C261" s="72" t="s">
        <v>60</v>
      </c>
      <c r="H261" s="91">
        <f t="shared" si="46"/>
        <v>0.47964384578065689</v>
      </c>
      <c r="I261" s="91">
        <f t="shared" si="46"/>
        <v>0.73754233890880361</v>
      </c>
    </row>
    <row r="262" spans="3:9" ht="12" customHeight="1" x14ac:dyDescent="0.3">
      <c r="C262" s="72" t="s">
        <v>61</v>
      </c>
      <c r="H262" s="91">
        <f t="shared" si="46"/>
        <v>0.30722440899569553</v>
      </c>
      <c r="I262" s="91">
        <f t="shared" si="46"/>
        <v>0.83134120753471485</v>
      </c>
    </row>
    <row r="263" spans="3:9" ht="12" customHeight="1" x14ac:dyDescent="0.3">
      <c r="C263" s="72" t="s">
        <v>62</v>
      </c>
      <c r="H263" s="91">
        <f t="shared" si="46"/>
        <v>5.5452778857364926</v>
      </c>
      <c r="I263" s="91">
        <f t="shared" si="46"/>
        <v>0.55513290538467241</v>
      </c>
    </row>
    <row r="264" spans="3:9" ht="12" customHeight="1" x14ac:dyDescent="0.3">
      <c r="C264" s="80" t="s">
        <v>63</v>
      </c>
      <c r="H264" s="91" t="e">
        <f t="shared" si="46"/>
        <v>#DIV/0!</v>
      </c>
      <c r="I264" s="91" t="e">
        <f t="shared" si="46"/>
        <v>#DIV/0!</v>
      </c>
    </row>
    <row r="265" spans="3:9" ht="12" customHeight="1" x14ac:dyDescent="0.3">
      <c r="C265" s="84" t="s">
        <v>64</v>
      </c>
      <c r="H265" s="91" t="e">
        <f t="shared" si="46"/>
        <v>#DIV/0!</v>
      </c>
      <c r="I265" s="91">
        <f t="shared" si="46"/>
        <v>0.7711761368241874</v>
      </c>
    </row>
    <row r="266" spans="3:9" ht="12" customHeight="1" x14ac:dyDescent="0.3">
      <c r="C266" s="84" t="s">
        <v>65</v>
      </c>
      <c r="H266" s="91" t="e">
        <f t="shared" si="46"/>
        <v>#DIV/0!</v>
      </c>
      <c r="I266" s="91">
        <f t="shared" si="46"/>
        <v>1.0429022082018928</v>
      </c>
    </row>
    <row r="267" spans="3:9" ht="12" customHeight="1" x14ac:dyDescent="0.3">
      <c r="C267" s="84" t="s">
        <v>66</v>
      </c>
      <c r="H267" s="91">
        <f t="shared" si="46"/>
        <v>1.7797487065779749</v>
      </c>
      <c r="I267" s="91" t="e">
        <f t="shared" si="46"/>
        <v>#DIV/0!</v>
      </c>
    </row>
    <row r="268" spans="3:9" ht="12" customHeight="1" x14ac:dyDescent="0.3">
      <c r="C268" s="84" t="s">
        <v>67</v>
      </c>
      <c r="H268" s="91">
        <f t="shared" si="46"/>
        <v>0.71566185498270551</v>
      </c>
      <c r="I268" s="91">
        <f t="shared" si="46"/>
        <v>1.8357487922705314E-2</v>
      </c>
    </row>
    <row r="269" spans="3:9" ht="12" customHeight="1" x14ac:dyDescent="0.3">
      <c r="C269" s="84" t="s">
        <v>16</v>
      </c>
      <c r="H269" s="91">
        <f t="shared" si="46"/>
        <v>53.829787234042556</v>
      </c>
      <c r="I269" s="91">
        <f t="shared" si="46"/>
        <v>0.25240490868612275</v>
      </c>
    </row>
    <row r="270" spans="3:9" ht="12" customHeight="1" x14ac:dyDescent="0.3">
      <c r="C270" s="84" t="s">
        <v>18</v>
      </c>
      <c r="H270" s="91">
        <f t="shared" si="46"/>
        <v>1.4999999999999998</v>
      </c>
      <c r="I270" s="91">
        <f t="shared" si="46"/>
        <v>0.83521444695259606</v>
      </c>
    </row>
    <row r="271" spans="3:9" ht="12" customHeight="1" x14ac:dyDescent="0.3">
      <c r="C271" s="84" t="s">
        <v>20</v>
      </c>
      <c r="H271" s="91" t="e">
        <f t="shared" si="46"/>
        <v>#DIV/0!</v>
      </c>
      <c r="I271" s="91">
        <f t="shared" si="46"/>
        <v>0.93512619456015678</v>
      </c>
    </row>
    <row r="272" spans="3:9" ht="12" customHeight="1" x14ac:dyDescent="0.3">
      <c r="C272" s="84" t="s">
        <v>22</v>
      </c>
      <c r="H272" s="91" t="e">
        <f t="shared" si="46"/>
        <v>#DIV/0!</v>
      </c>
      <c r="I272" s="91">
        <f t="shared" si="46"/>
        <v>2.4287465652082014</v>
      </c>
    </row>
    <row r="273" spans="3:9" ht="12" customHeight="1" x14ac:dyDescent="0.3">
      <c r="C273" s="84" t="s">
        <v>68</v>
      </c>
      <c r="H273" s="91" t="e">
        <f t="shared" si="46"/>
        <v>#DIV/0!</v>
      </c>
      <c r="I273" s="91">
        <f t="shared" si="46"/>
        <v>2.3537717601547392</v>
      </c>
    </row>
    <row r="274" spans="3:9" ht="12" customHeight="1" x14ac:dyDescent="0.3">
      <c r="C274" s="84" t="s">
        <v>25</v>
      </c>
      <c r="H274" s="91" t="e">
        <f t="shared" si="46"/>
        <v>#DIV/0!</v>
      </c>
      <c r="I274" s="91">
        <f t="shared" si="46"/>
        <v>3.5506782325202315</v>
      </c>
    </row>
    <row r="275" spans="3:9" ht="12" customHeight="1" x14ac:dyDescent="0.3">
      <c r="C275" s="84" t="s">
        <v>69</v>
      </c>
      <c r="H275" s="91">
        <f t="shared" ref="H275:I281" si="47">H42/H235</f>
        <v>1.9276939655172414</v>
      </c>
      <c r="I275" s="91">
        <f t="shared" si="47"/>
        <v>5.3092851135407919</v>
      </c>
    </row>
    <row r="276" spans="3:9" ht="12" customHeight="1" x14ac:dyDescent="0.3">
      <c r="C276" s="84" t="s">
        <v>70</v>
      </c>
      <c r="H276" s="91">
        <f t="shared" si="47"/>
        <v>1.2026845637583889</v>
      </c>
      <c r="I276" s="91">
        <f t="shared" si="47"/>
        <v>0</v>
      </c>
    </row>
    <row r="277" spans="3:9" ht="12" customHeight="1" x14ac:dyDescent="0.3">
      <c r="C277" s="84" t="s">
        <v>71</v>
      </c>
      <c r="H277" s="91">
        <f t="shared" si="47"/>
        <v>0.90771819816496857</v>
      </c>
      <c r="I277" s="91" t="e">
        <f t="shared" si="47"/>
        <v>#DIV/0!</v>
      </c>
    </row>
    <row r="278" spans="3:9" ht="12" customHeight="1" x14ac:dyDescent="0.3">
      <c r="C278" s="84" t="s">
        <v>72</v>
      </c>
      <c r="H278" s="91">
        <f t="shared" si="47"/>
        <v>1.0484796859375578</v>
      </c>
      <c r="I278" s="91" t="e">
        <f t="shared" si="47"/>
        <v>#DIV/0!</v>
      </c>
    </row>
    <row r="279" spans="3:9" ht="12" customHeight="1" x14ac:dyDescent="0.3">
      <c r="C279" s="84" t="s">
        <v>74</v>
      </c>
      <c r="H279" s="91">
        <f t="shared" si="47"/>
        <v>1.1981663035584602</v>
      </c>
      <c r="I279" s="91" t="e">
        <f t="shared" si="47"/>
        <v>#DIV/0!</v>
      </c>
    </row>
    <row r="280" spans="3:9" ht="12" customHeight="1" x14ac:dyDescent="0.3">
      <c r="C280" s="84" t="s">
        <v>75</v>
      </c>
      <c r="H280" s="91">
        <f t="shared" si="47"/>
        <v>0.99745134383688583</v>
      </c>
      <c r="I280" s="91">
        <f t="shared" si="47"/>
        <v>0.24202641039414882</v>
      </c>
    </row>
    <row r="281" spans="3:9" ht="12" customHeight="1" thickBot="1" x14ac:dyDescent="0.35">
      <c r="C281" s="85" t="s">
        <v>26</v>
      </c>
      <c r="H281" s="91">
        <f t="shared" si="47"/>
        <v>0.84290861698209718</v>
      </c>
      <c r="I281" s="91">
        <f t="shared" si="47"/>
        <v>0.874944142045467</v>
      </c>
    </row>
    <row r="282" spans="3:9" ht="12" customHeight="1" thickTop="1" x14ac:dyDescent="0.3">
      <c r="H282" s="91" t="s">
        <v>73</v>
      </c>
      <c r="I282" s="91" t="s">
        <v>73</v>
      </c>
    </row>
    <row r="283" spans="3:9" ht="12" customHeight="1" x14ac:dyDescent="0.3">
      <c r="H283" s="91" t="s">
        <v>73</v>
      </c>
      <c r="I283" s="91" t="s">
        <v>73</v>
      </c>
    </row>
    <row r="284" spans="3:9" ht="12" customHeight="1" x14ac:dyDescent="0.3">
      <c r="H284" s="91" t="s">
        <v>73</v>
      </c>
      <c r="I284" s="91" t="s">
        <v>73</v>
      </c>
    </row>
    <row r="285" spans="3:9" ht="12" customHeight="1" x14ac:dyDescent="0.3">
      <c r="H285" s="91" t="s">
        <v>73</v>
      </c>
      <c r="I285" s="91" t="s">
        <v>73</v>
      </c>
    </row>
    <row r="286" spans="3:9" ht="12" customHeight="1" x14ac:dyDescent="0.3">
      <c r="H286" s="91" t="s">
        <v>73</v>
      </c>
      <c r="I286" s="91" t="s">
        <v>73</v>
      </c>
    </row>
    <row r="287" spans="3:9" ht="12" customHeight="1" x14ac:dyDescent="0.3">
      <c r="H287" s="91" t="s">
        <v>73</v>
      </c>
      <c r="I287" s="91" t="s">
        <v>73</v>
      </c>
    </row>
    <row r="288" spans="3:9" ht="12" customHeight="1" x14ac:dyDescent="0.3">
      <c r="H288" s="91" t="s">
        <v>73</v>
      </c>
      <c r="I288" s="91" t="s">
        <v>73</v>
      </c>
    </row>
    <row r="289" spans="8:9" ht="12" customHeight="1" x14ac:dyDescent="0.3">
      <c r="H289" s="91" t="s">
        <v>73</v>
      </c>
      <c r="I289" s="91" t="s">
        <v>73</v>
      </c>
    </row>
    <row r="290" spans="8:9" ht="12" customHeight="1" x14ac:dyDescent="0.3">
      <c r="H290" s="91" t="s">
        <v>73</v>
      </c>
      <c r="I290" s="91" t="s">
        <v>73</v>
      </c>
    </row>
    <row r="291" spans="8:9" ht="12" customHeight="1" x14ac:dyDescent="0.3">
      <c r="H291" s="91" t="s">
        <v>73</v>
      </c>
      <c r="I291" s="91" t="s">
        <v>73</v>
      </c>
    </row>
    <row r="292" spans="8:9" ht="12" customHeight="1" x14ac:dyDescent="0.3">
      <c r="H292" s="91" t="s">
        <v>73</v>
      </c>
      <c r="I292" s="91" t="s">
        <v>73</v>
      </c>
    </row>
    <row r="293" spans="8:9" ht="12" customHeight="1" x14ac:dyDescent="0.3">
      <c r="H293" s="91" t="s">
        <v>73</v>
      </c>
      <c r="I293" s="91" t="s">
        <v>73</v>
      </c>
    </row>
    <row r="294" spans="8:9" ht="12" customHeight="1" x14ac:dyDescent="0.3">
      <c r="H294" s="91" t="s">
        <v>73</v>
      </c>
      <c r="I294" s="91" t="s">
        <v>73</v>
      </c>
    </row>
    <row r="295" spans="8:9" ht="12" customHeight="1" x14ac:dyDescent="0.3">
      <c r="H295" s="91" t="s">
        <v>73</v>
      </c>
      <c r="I295" s="91" t="s">
        <v>73</v>
      </c>
    </row>
    <row r="296" spans="8:9" ht="12" customHeight="1" x14ac:dyDescent="0.3">
      <c r="H296" s="91" t="s">
        <v>73</v>
      </c>
      <c r="I296" s="91" t="s">
        <v>73</v>
      </c>
    </row>
    <row r="297" spans="8:9" ht="12" customHeight="1" x14ac:dyDescent="0.3">
      <c r="H297" s="91" t="s">
        <v>73</v>
      </c>
      <c r="I297" s="91" t="s">
        <v>73</v>
      </c>
    </row>
    <row r="298" spans="8:9" ht="12" customHeight="1" x14ac:dyDescent="0.3">
      <c r="H298" s="91" t="s">
        <v>73</v>
      </c>
      <c r="I298" s="91" t="s">
        <v>73</v>
      </c>
    </row>
  </sheetData>
  <mergeCells count="24">
    <mergeCell ref="B120:J120"/>
    <mergeCell ref="B133:J133"/>
    <mergeCell ref="B146:J146"/>
    <mergeCell ref="F159:G159"/>
    <mergeCell ref="B70:J70"/>
    <mergeCell ref="B75:J75"/>
    <mergeCell ref="B88:J88"/>
    <mergeCell ref="B101:J101"/>
    <mergeCell ref="B114:J114"/>
    <mergeCell ref="B115:J115"/>
    <mergeCell ref="O65:P65"/>
    <mergeCell ref="R65:S65"/>
    <mergeCell ref="T65:U65"/>
    <mergeCell ref="C8:C9"/>
    <mergeCell ref="D8:D9"/>
    <mergeCell ref="E8:E9"/>
    <mergeCell ref="F9:G9"/>
    <mergeCell ref="H9:I9"/>
    <mergeCell ref="J9:K9"/>
    <mergeCell ref="L9:M9"/>
    <mergeCell ref="N9:O9"/>
    <mergeCell ref="Q9:R9"/>
    <mergeCell ref="B63:J63"/>
    <mergeCell ref="T63:U63"/>
  </mergeCells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 simplificat tarife</vt:lpstr>
      <vt:lpstr> Tarife an Tr</vt:lpstr>
      <vt:lpstr> Tarife an 5</vt:lpstr>
      <vt:lpstr>' Tarife an 5'!Print_Area</vt:lpstr>
      <vt:lpstr>' Tarife an Tr'!Print_Area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cp:lastPrinted>2024-08-20T07:22:01Z</cp:lastPrinted>
  <dcterms:created xsi:type="dcterms:W3CDTF">2018-07-31T11:06:43Z</dcterms:created>
  <dcterms:modified xsi:type="dcterms:W3CDTF">2024-08-20T07:22:38Z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